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2\"/>
    </mc:Choice>
  </mc:AlternateContent>
  <xr:revisionPtr revIDLastSave="0" documentId="13_ncr:1_{E3FD68FB-F8ED-48D2-BB68-51C5C69F3000}"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TDSheet!$A$3:$X$3235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<sst xmlns="http://schemas.openxmlformats.org/spreadsheetml/2006/main" count="44084" uniqueCount="3579">
  <si>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</si>
  <si>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</si>
  <si>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</si>
  <si>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</si>
  <si>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</si>
  <si>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</si>
  <si>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</si>
  <si>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</si>
  <si>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</si>
  <si>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</si>
  <si>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</si>
  <si>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</si>
  <si>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</si>
  <si>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</si>
  <si>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</si>
  <si>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</si>
  <si>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</si>
  <si>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</si>
  <si>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</si>
  <si>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</si>
  <si>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</si>
  <si>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</si>
  <si>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</si>
  <si>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Under Armour</t>
  </si>
  <si>
    <t>UA OutRun the STORM Tight</t>
  </si>
  <si>
    <t>1365665-001</t>
  </si>
  <si>
    <t>Тайтсы</t>
  </si>
  <si>
    <t>Одежда</t>
  </si>
  <si>
    <t>Брюки</t>
  </si>
  <si>
    <t>Бег и Фитнес</t>
  </si>
  <si>
    <t>Мужчины</t>
  </si>
  <si>
    <t>Тайтсы Under Armour черного цвета для занятий спортом и тренировок.</t>
  </si>
  <si>
    <t>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</si>
  <si>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черный</t>
  </si>
  <si>
    <t>Круглогодично</t>
  </si>
  <si>
    <t>90% полиэстер  10% эластан, подкладка 100% полиэстер</t>
  </si>
  <si>
    <t>US</t>
  </si>
  <si>
    <t>SM</t>
  </si>
  <si>
    <t>46-48</t>
  </si>
  <si>
    <t>MD</t>
  </si>
  <si>
    <t>48-50</t>
  </si>
  <si>
    <t>LG</t>
  </si>
  <si>
    <t>50-52</t>
  </si>
  <si>
    <t>XL</t>
  </si>
  <si>
    <t>52-54</t>
  </si>
  <si>
    <t>UA DNA PANT</t>
  </si>
  <si>
    <t>1366439-478</t>
  </si>
  <si>
    <t>Спортивный стиль</t>
  </si>
  <si>
    <t>Мужские утепленные спортивные штаны Under Armour.
Характеристики:
Двухслойный флис с трикотажной текстурой и начесом на внутренней поверхности очень теплый и удобный, с влаговыводящими свойствами
Эластичный пояс со шнурком для регулировки размера
Открытые карманы для рук и потайной карман на молнии с правой стороны
Эластичные шнурки внизу брючин для регулировки размера</t>
  </si>
  <si>
    <t>N/A.</t>
  </si>
  <si>
    <t>голубой</t>
  </si>
  <si>
    <t>100% полиэстер</t>
  </si>
  <si>
    <t>Rival Fleece Joggers</t>
  </si>
  <si>
    <t>1356487-684</t>
  </si>
  <si>
    <t>Дети</t>
  </si>
  <si>
    <t>Это ваши новые любимые штаны для разминки - они легкие, удобные и очень мягкие внутри. Свободный крой для максимального комфорта. Ультрамягкий флис из смесового хлопка средней плотности с начесом внутри для дополнительного тепла. Эластичный пояс в рубчик с внешней утяжкой.</t>
  </si>
  <si>
    <t>UA Rival Fleece. Ультрамягкий хлопковый флис средней плотности с начесом для дополнительного тепла, отводит пот от кожи и быстро сохнет.  Подходит для разминки и повседневной носки.</t>
  </si>
  <si>
    <t>розовый</t>
  </si>
  <si>
    <t>67% хлопок, 33% полиэстер</t>
  </si>
  <si>
    <t>YLG</t>
  </si>
  <si>
    <t>151-156</t>
  </si>
  <si>
    <t>Meridian Rib WB Ankle Leg-PPL</t>
  </si>
  <si>
    <t>1365801-554</t>
  </si>
  <si>
    <t>Леггинсы</t>
  </si>
  <si>
    <t>Женщины</t>
  </si>
  <si>
    <t>Under Armour Meridian - это наш оригинальный базовый слой, который вы надеваете первым и снимаете последним. Поэтому мы сделали его особенно комфортным, способным вывести пот и тянущимся в 4 направлениях, чтобы вы могли двигаться несмотря ни на что. Наша самая легендарная вещь: сверхлегкая ткань HeatGear обеспечивает превосходное покрытие, не отягощая вас. Материал отводит пот и высыхает очень быстро. Растягивающаяся в четырех направлениях конструкция позволяет сосредоточиться на результате. Технология anti-odor предотвращает рост вызывающих запах микробов. Эргономичные плоские швы обеспечивают удобную посадка без натирания. Высокий нескользящий пояс для оптимальной поддержки, которая сохранит тайтсы на месте при каждом движении.</t>
  </si>
  <si>
    <t>UA HeatGear. Экипировка, которая дарит прохладу во время тренировок и соревнований. Система контроля влаги отводит пот от кожи, позволяя ему быстрее испаряться.  Эластичная ткань обеспечивает комфорт и не сковывает движения.</t>
  </si>
  <si>
    <t>фиолетовый</t>
  </si>
  <si>
    <t>83% нейлон, 17% эластан</t>
  </si>
  <si>
    <t>XS</t>
  </si>
  <si>
    <t>40-42</t>
  </si>
  <si>
    <t>UA Unstoppable Utility Cargo</t>
  </si>
  <si>
    <t>1388827-110</t>
  </si>
  <si>
    <t>Under Armour Unstoppable Utility Cargo — это идеальные брюки для активной жизни, предлагающие стиль и функциональность в повседневной носке. Сделанные из 100% полиэстера, они оснащены технологией UA Storm, что делает их незаменимыми для любого приключения. Технология UA Storm защищает от непогоды, сохраняя воздухопроницаемость, что делает их идеальными для повседневного использования в разнообразных условиях.
- Сверхпрочная ткань из рипстопа обеспечивает долговечность, выдерживая самые тяжелые нагрузки и износ при активной эксплуатации.
- Четырехполосный эластичный материал позволяет свободно перемещаться, обеспечивая полный комфорт и гибкость на весь день.
- Эластичный пояс и функциональная ширинка с застежкой-молнией обеспечивают удобную посадку и свободу движений, не стесняющую в динамичном ритме жизни.
- Вместительные накладные карманы с клапанами и открытые карманы для рук предлагают удобное хранение мелочей, необходимых в городской среде.
- Регулируемая панель на лодыжках с застежкой-молнией поддерживает индивидуальную посадку, обеспечивая максимальное удобство и стильный вид.</t>
  </si>
  <si>
    <t>белый</t>
  </si>
  <si>
    <t>44-46</t>
  </si>
  <si>
    <t>UA Vanish Seamless Legging</t>
  </si>
  <si>
    <t>1381662-465</t>
  </si>
  <si>
    <t>Рекомендуется брать на размер больше, чем привычный размер, при этом для сохранения компрессионных свойств продукта, посадка должна быть достаточно плотной и прилегающей к телу. Благодаря использованию сетчатого материала, подобранного в соответствии с особенностями вашего тела, вы получаете вентиляцию там, где она необходима, а также комфорт благодаря меньшему количеству швов. Это практически самая удобная вещь, в которой вы когда-либо тренировались. Материал отводит пот и быстро сохнет. Высокая посадка для оптимальной поддержки и защиты.</t>
  </si>
  <si>
    <t>92% нейлон, 8% эластан</t>
  </si>
  <si>
    <t>UA Favorite WM Leggings</t>
  </si>
  <si>
    <t>1356403-090</t>
  </si>
  <si>
    <t>Легинсы</t>
  </si>
  <si>
    <t>Леггинсы Under Armour Ua Favorite Wm Leggings. Сверхлегкий материал этих леггинсов просто создан для носки в течение всего дня. Мягкая, сверхлегкая хлопковая ткань обеспечивает невероятный комфорт. Мягкий эластичный пояс.</t>
  </si>
  <si>
    <t>серый</t>
  </si>
  <si>
    <t>58% хлопок, 31% полиэстер, 11% эластан</t>
  </si>
  <si>
    <t>42-44</t>
  </si>
  <si>
    <t>UA Armour Fleece Joggers-NVY</t>
  </si>
  <si>
    <t>1373362-410</t>
  </si>
  <si>
    <t>Брюки Under Armour Fleece Joggers созданы для тренировок и повседневной жизни. Изготовленные из 100% полиэстера, они поддерживают оптимальную температуру тела и дают полную свободу движений. Современный дизайн и практичные детали делают их отличным выбором для спорта и повседневной носки. Усиленные колени обеспечивают долговечность, даже при нагрузках и интенсивной активности на тренировках.
- Технология Armour Fleece обеспечивает легкость и тепло, что делает эти брюки идеальными для холодной погоды.
- Материал дышит и быстро сохнет, контролируя влагу и обеспечивая комфорт во время интенсивных тренировок.
- Эластичный пояс с регулируемым шнурком позволяет индивидуально настроить посадку, увеличивая удобство и поддержку.
- Карманы на молнии гарантируют безопасность и сохранность важных мелочей, таких как ключи или телефон.
- Стильный силуэт и современный дизайн подходят как для спорта, так и для повседневного использования, подчеркивая уверенность и динамику.</t>
  </si>
  <si>
    <t>UA Armour Fleece. Легкий, удобный и супермягкий трикотаж для разминки и повседневной носки. Мягкий внутренний слой удерживает тепло и сохраняет комфортную температуру при ношении.</t>
  </si>
  <si>
    <t>синий</t>
  </si>
  <si>
    <t>MDT</t>
  </si>
  <si>
    <t>48-50 удл</t>
  </si>
  <si>
    <t>LGT</t>
  </si>
  <si>
    <t>50-52 удл</t>
  </si>
  <si>
    <t>Tech HiRise Leg</t>
  </si>
  <si>
    <t>1365336-020</t>
  </si>
  <si>
    <t>ХИТ</t>
  </si>
  <si>
    <t>HeatGear Armor - это наш оригинальный базовый слой, который вы надеваете первым и снимаете последним. Поэтому мы сделали его особенно комфортным, способным вывести пот и тянущимся в 4 направлениях, чтобы вы могли двигаться несмотря ни на что.  Наша самая легендарная вещь: сверхлегкая ткань HeatGear обеспечивает превосходное покрытие, не отягощая вас. Материал отводит пот и высыхает очень быстро.Растягивающаяся в четырех направлениях конструкция позволяет сосредотичиться на результате. Технология anti-odor предотвращает рост вызывающих запах микробов. Эргономичные плоские швы обеспечивают удобную посадка без натирания. Высокий нескользящий пояс для оптимальной поддержки, которая сохранит тайтсы на месте при каждом движении. Боковой карман.</t>
  </si>
  <si>
    <t>87% полиэстер, 13% эластан</t>
  </si>
  <si>
    <t>UA Armour Fleece Joggers</t>
  </si>
  <si>
    <t>1373362-014</t>
  </si>
  <si>
    <t>UA Armour Fleece Joggers – идеальный выбор для всех спортивных энтузиастов. Эти штаны сочетают в себе стиль и функциональность, чтобы поддержать вас во время тренировок и соревнований. Изготовленные из инновационного материала Armour Fleece, они обеспечивают максимальный комфорт и защиту от холода благодаря своей превосходной утепляющей способности. Эластичный пояс с регулируемым шнурком позволяет настроить идеальную посадку, а карманы на молнии предоставляют удобное хранение ваших вещей. Стильные и практичные UA Armour Fleece Joggers – ваш надежный спортивный партнер для достижения ваших целей.</t>
  </si>
  <si>
    <t>XXL</t>
  </si>
  <si>
    <t>54-56</t>
  </si>
  <si>
    <t>Campus Legging</t>
  </si>
  <si>
    <t>1386482-025</t>
  </si>
  <si>
    <t>Женские леггинсы выполнены из мягкой хлопковой ткани, которая обеспечивает комфорт в течение всего дня и не сковывает движений, а высокий пояс обеспечивает защиту и поддержку.
• Мягкая, легкая хлопковая ткань обеспечивает невероятный комфорт
• Высокий пояс с внутренним прорезным карманом
• Обновленная ластовица для лучшей посадки и комфорта
• Облегающий крой, не слишком узкий и не слишком свободный.</t>
  </si>
  <si>
    <t>58% хлопок, 32% полиэстер, 10% эластан</t>
  </si>
  <si>
    <t>UA RIVAL LW PANT</t>
  </si>
  <si>
    <t>6009318-001</t>
  </si>
  <si>
    <t>Эта легкая французская махра обладает мягкой текстурой флиса, но без лишнего тепла, характерного для начесанного флиса. Это делает её идеальной для прохладных летних вечеров или утренних тренировок.
Особенности:
Легкая французская махра с гладкой внешней стороной и теплой, мягкой внутренней
Материал отводит влагу и очень быстро сохнет
Пояс на резинке в кулиске с внешним шнурком-утяжкой
Открытые боковые карманы для рук и задний карман
Прямой крой брючин</t>
  </si>
  <si>
    <t>80% хлопок, 20% полиэстер</t>
  </si>
  <si>
    <t>YXS</t>
  </si>
  <si>
    <t>121-126</t>
  </si>
  <si>
    <t>CURRY FLEECE JOGGER</t>
  </si>
  <si>
    <t>1366627-011</t>
  </si>
  <si>
    <t>Ультрамягкий флис средней плотности из смесового хлопка с начесом внутри для дополнительного тепла.
Эластичный ребристый пояс с внутренним шнурком.
Открытые карманы для рук.</t>
  </si>
  <si>
    <t>UA OutRun the Storm Pant</t>
  </si>
  <si>
    <t>1376799-025</t>
  </si>
  <si>
    <t>Серия UA Outrun The Storm не просто водостойкая - она супер водонепроницаемая, что означает, что она лучше защищает и служит дольше, чем другие средства защиты от дождя. Технология UA Storm отталкивает воду, не жертвуя воздухопроницаемостью. Молнии на щиколотках для легкого надевания/снятия. Используется не содержащая фтора водоотталкивающая пропитка. Светоотражающие детали для бега при слабом освещении.</t>
  </si>
  <si>
    <t>UA B Rival Wvn Pant</t>
  </si>
  <si>
    <t>1390155-390</t>
  </si>
  <si>
    <t>Это идеальные разминочные штаны, которые помогут держать ваши мышцы в готовности — для любого вида спорта или тренировки. Они лёгкие, водонепроницаемые и удобные для многослойной носки или компактной упаковки, когда вы переходите к активным действиям.
• Технология UA Storm отталкивает воду, не снижая воздухопроницаемости
• Гладкая тканая основа — лёгкая и чрезвычайно прочная
• Эластичный пояс в кулиске с внешним шнурком-утяжкой
• Открытые боковые карманы</t>
  </si>
  <si>
    <t>зеленый</t>
  </si>
  <si>
    <t>YSM</t>
  </si>
  <si>
    <t>127-132</t>
  </si>
  <si>
    <t>YMD</t>
  </si>
  <si>
    <t>134-149</t>
  </si>
  <si>
    <t>YXL</t>
  </si>
  <si>
    <t>157-163</t>
  </si>
  <si>
    <t>1390155-410</t>
  </si>
  <si>
    <t>100% полиэстер</t>
  </si>
  <si>
    <t>UA Icon Fleece Jogger</t>
  </si>
  <si>
    <t>1373882-477</t>
  </si>
  <si>
    <t>Брюки Under Armour UA Icon Fleece Jogger — это мужские спортивные брюки-джоггеры . Они предназначены для использования в качестве разминочной или повседневной одежды, обеспечивая комфорт, тепло и стильный внешний вид как в спортзале, так и на улице.  Идеально подходят для разминки до и после тренировок, чтобы оставаться в тонусе и сосредоточиться, а также для повседневной носки благодаря свободному крою.
 Ультрамягкий флис средней плотности из смесового хлопка с начесом внутри для дополнительного тепла. Состав: 80% хлопок, 20% полиэстер. Эластичный пояс с внешним шнурком для регулировки посадки.Открытые боковые карманы для рук и надежный задний карман на кнопке. Эластичные манжеты внизу штанин. Вышитый логотип бренда.: Свободный крой (Loose), для полного комфорта.
Эти джоггеры сочетают в себе мягкость флиса с высокой прочностью материалов, обеспечивая отличное прилегание и удержание тепла. Современный крой и яркий цвет делают их стильным элементом спортивного и городского гардероба.</t>
  </si>
  <si>
    <t>HeatGear Graphic Legging</t>
  </si>
  <si>
    <t>6012636-690</t>
  </si>
  <si>
    <t>HeatGear® — наша оригинальная функциональная базовая экипировка, которую вы надеваете первой и снимаете последней. Поэтому мы сделали эти леггинсы особенно комфортными: они отводят влагу и отлично растягиваются, позволяя вам двигаться свободно в любых условиях.
Ключевые особенности:
🔹 Гладкая функциональная ткань HeatGear® — сверхлёгкая и дышащая, обеспечивает комфорт даже во время самых интенсивных тренировок
🔹 Влагоотводящий материал с быстрым высыханием — эффективно отводит пот от тела и быстро сохнет, сохраняя ощущение сухости
🔹 Материал с 4-сторонней эластичностью — свободно растягивается в любом направлении, не сковывая движений
🔹 Средняя посадка с открытым эластичным поясом — украшен фирменным логотипом-надписью для стильного акцента
🔹 Обновленная конструкция ластовицы — обеспечивает максимальный комфорт и расширенную амплитуду движений
🔹 Обновленный дизайн заднего шва — формирует силуэт и визуально подчеркивает достоинства фигуры
🔹 Технология контроля запаха — минимизирует появление неприятных запахов, сохраняя свежесть на протяжении всей тренировки</t>
  </si>
  <si>
    <t>красный</t>
  </si>
  <si>
    <t>86% полиэстер, 14% эластан</t>
  </si>
  <si>
    <t>Breathelux Jacquard Crop</t>
  </si>
  <si>
    <t>1318074-100</t>
  </si>
  <si>
    <t>Изготовлен из самой шелковистой и гладкой ткани, которую вы когда-либо носили. Но создан для того, чтобы двигаться так же проворно, как и вы, и в то же время прикрывает вас высокой талией. И они быстро высыхают, когда вы потеете, сохраняя прохладу и легкость.</t>
  </si>
  <si>
    <t>Полиэстер 66%, Нейлон17%, Эластарель 17%</t>
  </si>
  <si>
    <t>UA Vibe Woven Cargo Pants</t>
  </si>
  <si>
    <t>1386558-308</t>
  </si>
  <si>
    <t>Брюки UA Vibe Woven Cargo Pants от Under Armour сочетают в себе стиль и функциональность для ежедневного использования. Их технология UA Storm отталкивает воду, сохраняя воздухопроницаемость, а легкая эластичная ткань обеспечивает высочайший комфорт и долговечность. Эти брюки — идеальный выбор для активного образа жизни.
- Технология UA Storm обеспечивает водоотталкивающее свойство, защищая от погодных условий без ущерба для воздухопроницаемости.
- Легкая, эластичная ткань движется во всех направлениях, предлагая непревзойденный комфорт и полностью адаптируясь под ваши движения.
- Эластичный пояс с наружным шнурком позволяет настроить посадку для оптимального комфорта и поддержки.
- Брюки оснащены открытыми карманами для рук, задним карманом на кнопке и функциональными грузовыми карманами с клапанами.
- Водоотталкивающее средство, не содержащее фтора, гарантирует безопасность и экологичность.
- Использование переработанного полиэстера в основной ткани поддерживает экологически осознанное производство без потери износостойкости.</t>
  </si>
  <si>
    <t>Unstoppable Flc Jogger</t>
  </si>
  <si>
    <t>1379846-348</t>
  </si>
  <si>
    <t>Женские спортивные брюки UA Unstoppable Flc Jogger— это удачный выбор для тех, кто ищет комфорт и стиль в повседневной носке. Изготовленные из 100% полиэстера, они предлагают мягкость и тепло благодаря высококачественному флисовому материалу. Свободный крой обеспечивает полную свободу движений. Ткань из 100% полиэстера гарантирует долговечность и простоту в уходе, благодаря которой брюки долго сохраняют свой внешний вид.
- Высококачественный флис сохраняет тепло и мягкость, что делает их идеальным выбором для прохладной погоды.
- Свободный крой позволяет свободно передвигаться, что особенно важно для активного образа жизни.
- Универсальный дизайн легко впишется как в спортивный, так и в повседневный гардероб, что делает брюки идеальными для разных случаев.
- Брюки обеспечивают оптимальную терморегуляцию, поддерживая комфортную температуру в любую погоду.
- Легкий материал быстро сохнет, идеально подходя для активных тренировок и ежедневной носки.</t>
  </si>
  <si>
    <t>65% полиэстер, 29% хлопок, 6% эластан</t>
  </si>
  <si>
    <t>PJT RCK HWT PANT TOOLS</t>
  </si>
  <si>
    <t>1386899-273</t>
  </si>
  <si>
    <t>Брюки Under Armour PJT RCK HWT PANT TOOLS созданы для тех, кто ценит комфорт и универсальность. Изготовленные из высококачественного сочетания хлопка и полиэстера, эти брюки обеспечивают мягкость и долговечность, идеально подходя как для активных тренировок, так и для повседневного использования. Свободный крой позволят двигаться без ограничений, а удобная застежка на завязках обеспечивает надежную посадку на талии. Эти брюки легко адаптируются к любым условиям, позволяя создавать как спортивные образы, так и casual-стилизации. Идеальный выбор для тех, кто ищет баланс между функциональностью и стилем, при этом наслаждаясь полным комфортом в течение дня.</t>
  </si>
  <si>
    <t>73% хлопок, 27% полиэстер</t>
  </si>
  <si>
    <t>UA Rival Terry Jogger</t>
  </si>
  <si>
    <t>1380843-112</t>
  </si>
  <si>
    <t>Если вы хотите чувствовать себя комфортно, согреться и быть готовым перед игрой или после нее, то экипировка на это очень влияет. Мы называем это Rival Terry. Вы можете назвать его своим новым фаворитом. Легкая махра имеет гладкий внешний слой и теплый, мягкий внутренний слой. Материал отводит влагу и очень быстро сохнет. Эластичный пояс с внешним шнурком. Открытые карманы для рук.</t>
  </si>
  <si>
    <t>UA Icon Fleece Jgr Taping</t>
  </si>
  <si>
    <t>1389358-391</t>
  </si>
  <si>
    <t>Это мужские спортивные брюки-джоггеры под названием UA Icon Fleece Taping Joggers. Они предназначены для использования в качестве разминочной или повседневной одежды, обеспечивая комфорт, тепло и стильный внешний вид как в спортзале, так и на улице. 
 Идеально подходят для разминки до и после тренировок, чтобы оставаться в тонусе и сосредоточиться, а также для повседневной носки благодаря чистому, слегка свободному крою. Ультрамягкий флис средней плотности из смесового хлопка с начесом внутри для дополнительного тепла. Состав: 80% хлопок, 20% полиэстер. Эластичный пояс с внешним шнурком для регулировки посадки. Открытые боковые карманы для рук и надежный задний карман на кнопке. Эластичные манжеты внизу штанин. Фирменная брендированная окантовка (taping details) по бокам. Облегающий крой (Fitted), не слишком узкий и не слишком свободный.
Эти джоггеры сочетают в себе мягкость флиса с высокой прочностью материалов, обеспечивая отличное прилегание и удержание тепла. Контрастные детали и современный крой делают их стильным элементом спортивного и городского гардероба.</t>
  </si>
  <si>
    <t>UA Armour Fleece Twist Pants</t>
  </si>
  <si>
    <t>1373361-013</t>
  </si>
  <si>
    <t>Спортивные брюки Under Armour Fleece Twist Pants изготовлены из легкого, дышащего и слегка эластичного материала Armour Fleece®, который обеспечивает тепло, но при этом не громоздок и не стесняет движений.
Мягкий внутренний слой удерживает тепло, чтобы Вам было тепло и комфортно.
Armour Fleece® Новый флис - легкий, невероятно теплый и в нужной степени тянется
Эластичный пояс с внутренним шнурком
Открытые боковые карманы для рук и задний карман с правой стороны</t>
  </si>
  <si>
    <t>серый/черный</t>
  </si>
  <si>
    <t>1356487-036</t>
  </si>
  <si>
    <t>Эти брюки идеально подходят для разминки перед тренировкой - они легкие, удобные и очень мягкие внутри. Ультрамягкий флис средней плотности с начесом на внутренней стороне для дополнительного тепла и комфорта. Эластичный пояс. Открытые боковые карманы. Удлиненные манжеты в рубчик.</t>
  </si>
  <si>
    <t>UA Rival Hi Rise Woven Pant</t>
  </si>
  <si>
    <t>1382727-520</t>
  </si>
  <si>
    <t>Откройте для себя новый пик комфорта и эффективности тренировок с ArmourSport High Rise Woven Pants от Under Armour. Сочетая инновационный дизайн и технологическое мастерство, эти спортивные штаны станут вашим верным спутником в пути к совершенству.
Продвинутый влагоотводящий материал обеспечивает сухость и комфорт на протяжении всей вашей активности, не давая поту помешать вашему прогрессу. С высокой талией, эти штаны обеспечивают дополнительную поддержку и покрытие, что идеально подходит для динамичных движений и разнообразных тренировок.
Практичность в сочетании со стилем – вот что делает ArmourSport High Rise Woven Pants превосходным выбором для современного спортсмена. Интегрированные боковые карманы с безопасной застежкой позволяют надежно хранить ваш телефон, ключи и другие мелкие предметы, так что вы можете полностью сосредоточиться на достижении своих целей.
Уникальная ткань, из которой изготовлены штаны, обладает исключительной прочностью и гарантирует долгий срок службы изделия, справляясь с натиском интенсивных тренировок и частых стирок. Эластичные манжеты и изящный высокий пояс подчеркивают линии тела и добавляют эстетичности в спортивный образ.
Встроенный УФ-фильтр защищает вашу кожу от вредного воздействия солнечных лучей, а отражающие детали повышают вашу видимость при недостаточном освещении, позаботившись о вашей безопасности во время вечерних или утренних пробежек.
ArmourSport High Rise Woven Pants – это не просто спортивные штаны, это ваш персональный атрибут уверенности и выносливости, элегантно сформированный, чтобы вы могли с легкостью преодолевать новые вершины.</t>
  </si>
  <si>
    <t>Armour HiRise Leg</t>
  </si>
  <si>
    <t>1365336-686</t>
  </si>
  <si>
    <t>UA Rush Legging</t>
  </si>
  <si>
    <t>1368181-530</t>
  </si>
  <si>
    <t>Ткань Under Armour Rush с минеральными добавками поглощает и отражает энергию, повышая выносливость. Сверхмягкая ткань ColdGear дышащая и эластичная, что обеспечивает превосходную подвижность, но при этом остается невероятно теплой. Технология защиты от запаха предотвращает рост вызывающих запах микробов. Материал отводит пот и очень быстро сохнет. Нескользящий пояс с высокой посадкой для оптимального прилегания и поддержки, которая остается на месте при каждом вашем движении.</t>
  </si>
  <si>
    <t>UA Rush. Экипировка повышает эффективность тренировок: скорость, силу и выносливость спортсменов. Технология улавливает излучаемое телом тепло, перерабатывает его в энергию и возвращает обратно. Воздействие инфракрасного излучения усиливает кровоток за счет расширения кровеносных сосудов; увеличивает насыщение крови кислородом и способствует ее регенерации; помогает выведению токсинов, позволяет органам и мышцам быстрее восстанавливаться.</t>
  </si>
  <si>
    <t>77% полиэстер, 23% эластан</t>
  </si>
  <si>
    <t>UA PIQUE TRACK PANT</t>
  </si>
  <si>
    <t>1366203-012</t>
  </si>
  <si>
    <t>Спортивные штаны от Мирового бренда Under Armour. Они выполнены из легкого материала с отличными влаговыводящими свойствами. Эластичный пояс со шнурком обеспечивает надежную фиксацию. Предусмотрены боковые карманы. Есть молнии внизу брючин. Для дополнительной вентиляции предусмотрены вставки из сетки. Брюки спортивные Under Armour Sportstyle Pique Track Pant отлично подойдут для активного отдыха и простой повседневной носки.</t>
  </si>
  <si>
    <t>UA Unstoppable Tapered Pants</t>
  </si>
  <si>
    <t>6003861-498</t>
  </si>
  <si>
    <t>Всегда на высоте! Эти зауженные брюки изготовлены из нашей самой передовой тканой ткани, которая отталкивает воду, растягивается, когда нужно, и отличается исключительной прочностью. Благодаря этому, выходя на улицу, вы можете чувствовать себя уверенно.
Технология UA Storm отталкивает воду, не снижая воздухопроницаемости.
Легкая, прочная и невероятно комфортная эластичная тканая ткань.
Материал с четырёхсторонним растяжением обеспечивает свободу движений во всех направлениях.
Эластичный пояс со вшитой резинкой и внутренним регулировочным шнурком.
Открытые карманы для рук и безопасный задний карман на молнии.</t>
  </si>
  <si>
    <t>90% полиэстер, 10% эластан</t>
  </si>
  <si>
    <t>1368181-369</t>
  </si>
  <si>
    <t>SPORTSTYLE TRICOT JOGGER</t>
  </si>
  <si>
    <t>1290261-468</t>
  </si>
  <si>
    <t>Свободная посадка позволяет чувствовать полную свободу и абсолютно не сковывает движения атлета. Прочная трикотажная ткань с гладкой внешней стороной и мягким внутренним слоем дарит чувство комфорта и отличается долгим сроком службы. Материал обладает влагоотводящими свойствами и очень быстро высыхает. Ребристый пояс со шнурком, ребристые манжеты, боковые карманы и карман сзади создают идеальное сочетание стиля и удобства. Также имеется внутренний карман для телефона. Внутренний шов: 76 см.</t>
  </si>
  <si>
    <t>1356403-001</t>
  </si>
  <si>
    <t>Сверхлегкий материал этих леггинсов просто создан для носки в течение всего дня. Мягкая, сверхлегкая хлопковая ткань обеспечивает невероятный комфорт. Мягкий эластичный пояс.</t>
  </si>
  <si>
    <t>UA Favorite Legging Hi Rise</t>
  </si>
  <si>
    <t>1356404-019</t>
  </si>
  <si>
    <t>Сверхлегкий материал этих леггинсов просто создан для носки в течение всего дня. Мягкая, сверхлегкая хлопковая ткань обеспечивает невероятный комфорт. Широкий плоский пояс с высокой посадкой для дополнительной поддержки и внутренним карманом для хранения.  Эластичная тесьма Wordmark на боковых швах.</t>
  </si>
  <si>
    <t>UA Rival Flc WM Jogger</t>
  </si>
  <si>
    <t>1373374-690</t>
  </si>
  <si>
    <t>Under Armour UA Rival Flc Wm Jogger - это идеальный выбор для тех, кто ищет комфортные и стильные спортивные штаны для занятий спортом и повседневной жизни. Эти штаны выполнены из мягкого и теплого материала, который обеспечивает максимальный комфорт и тепло в холодную погоду. Уникальный дизайн с логотипом Under Armour делает эти штаны стильными и современными. Удобный пояс со шнурком позволяет регулировать посадку, а боковые карманы с молнией позволяют хранить вещи на месте во время движения. Under Armour UA Rival Flc Wm Jogger - это не только модный аксессуар, но и практичная вещь, которая подойдет для любой ситуации. Они идеально подходят для занятий спортом, прогулок на свежем воздухе и повседневной жизни. Не упустите возможность добавить комфорт и стиль в свой гардероб с помощью спортивных штанов от Under Armour.</t>
  </si>
  <si>
    <t>1390155-001</t>
  </si>
  <si>
    <t>HeatGear Legging</t>
  </si>
  <si>
    <t>6009975-001</t>
  </si>
  <si>
    <t>HeatGear® — это наш оригинальный функциональный базовый слой: то, что вы надеваете первым и снимаете последним. Поэтому мы сделали эти леггинсы особенно комфортными: они отводят влагу и тянутся, чтобы вы могли двигаться в любых условиях.
Гладкая функциональная ткань HeatGear®: суперлёгкая и дышащая
Материал отводит пот и быстро сохнет
Ткань с растяжением в 4 направлениях обеспечивает свободу движений в любом направлении
Средняя посадка с открытым эластичным поясом и деталью с логотипом-надписью
Обновлённая конструкция ластовицы обеспечивает максимальный комфорт и улучшенную амплитуду движений
Обновлённый дизайн заднего шва для красивой, облегающей посадки по фигуре
Технология контроля запаха эффективно минимизирует неприятные ароматы</t>
  </si>
  <si>
    <t>6009975-600</t>
  </si>
  <si>
    <t>86% полиэстер, 14% эластан</t>
  </si>
  <si>
    <t>6012636-001</t>
  </si>
  <si>
    <t>1386558-002</t>
  </si>
  <si>
    <t>UA SpeedPocket Ankle Tight</t>
  </si>
  <si>
    <t>1365602-554</t>
  </si>
  <si>
    <t>Сверхмягкая и структурированная ткань свободного кроя обеспечивает постоянное покрытие и комфорт. Сетчатые панели для дополнительной воздухопроницаемости там, где это необходимо. Материал отводит пот и очень быстро сохнет. Технология защиты от запаха предотвращает рост вызывающих запах микробов.</t>
  </si>
  <si>
    <t>72% полиэстер, 28% эластан</t>
  </si>
  <si>
    <t>UA Drive 5 Pocket Pant</t>
  </si>
  <si>
    <t>1364934-289</t>
  </si>
  <si>
    <t>Гольф</t>
  </si>
  <si>
    <t>Эти брюки для гольфа созданы для одного: чтобы вы могли двигаться так, как вам нужно на поле. Технология UA Storm отталкивает воду без ущерба для воздухопроницаемости. Технология 4-Way Stretch позволяет ткани растягиваться во всех направлениях. Эластичный пояс имеет внутренний захват для удержания рубашки на месте во время движения.</t>
  </si>
  <si>
    <t>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 4-Way Srtetch. Легкий материал повышенной потности и эластичности.</t>
  </si>
  <si>
    <t>бежевый</t>
  </si>
  <si>
    <t>30/34</t>
  </si>
  <si>
    <t>1357123-408</t>
  </si>
  <si>
    <t>Armor Fleece - это наш оригинальный заменитель флиса. Эти мужские флисовые спортивные брюки легкие, но невероятно теплые и хорошо растягиваются. Armor Fleece - легкий, дышащий и эластичный материал для превосходной подвижности. Мягкий внутренний слой удерживает тепло. Эластичный пояс с внешним шнурком. Открытые карманы для рук и карман Strength Pocket с правой стороны. Ребристые манжеты.</t>
  </si>
  <si>
    <t>1373362-390</t>
  </si>
  <si>
    <t>UA RIVAL TERRY JOGGER</t>
  </si>
  <si>
    <t>1361642-001</t>
  </si>
  <si>
    <t>Если вы хотите чувствовать себя комфортно, в тепле и быть всегда наготове, то джоггеры Rival Terry то, что вам нужно. Они станут вашим новым фаворитом. Ткань French Terry имеет гладкий внешний слой и теплый мягкий внутренний слой. Материал эффективно отводит пот и очень быстро сохнет. Зауженный крой. Эластичный пояс с внешним шнурком. Открытые карманы для рук. Внутренний шов 77 см.</t>
  </si>
  <si>
    <t>UA Rival Terry. Легкий французский трикотаж имеет гладкий внешний слой и теплый, мягкий внутренний слой. Подходит для разминки и повседневной носки.</t>
  </si>
  <si>
    <t>1373361-012</t>
  </si>
  <si>
    <t>UA ColdGear Rush Leggings</t>
  </si>
  <si>
    <t>1366060-001</t>
  </si>
  <si>
    <t>Термобелье (низ)</t>
  </si>
  <si>
    <t>UA RUSH - это то снаряжение, которое вы носите, когда это наиболее важно - ваши самые сложные тренировки, ваши самые важные игры, ваши самые интенсивные тренировки. Оно отлично подходит, держит вас в сухости. UA RUSH - это инфракрасная технология, которая отражает энергию вашего тела, чтобы помочь вам усерднее работать и быстрее восстанавливаться.</t>
  </si>
  <si>
    <t>UA ColdGear. Теплая и легкая экипировка для холодной погоды. Начесное трикотажное полотно удерживает тепло. Система контроля влаги отводит пот от кожи, позволяя ему быстрее испаряться.; UA Rush. Экипировка повышает эффективность тренировок: скорость, силу и выносливость спортсменов. Технология улавливает излучаемое телом тепло, перерабатывает его в энергию и возвращает обратно. Воздействие инфракрасного излучения усиливает кровоток за счет расширения кровеносных сосудов; увеличивает насыщение крови кислородом и способствует ее регенерации; помогает выведению токсинов, позволяет органам и мышцам быстрее восстанавливаться.</t>
  </si>
  <si>
    <t>84% полиэстер, 16% эластан</t>
  </si>
  <si>
    <t>UA Unstoppable Joggers</t>
  </si>
  <si>
    <t>1388823-390</t>
  </si>
  <si>
    <t>Under Armour Unstoppable Joggers — идеальный выбор для активного образа жизни, сочетающий превосходную функциональность и комфорт. Изготовленные из 90% полиэстера и 10% эластана, эти брюки обеспечивают защиту и свободу движений благодаря технологии UA Storm и эластичной конструкции. Удобные карманы включают открытые карманы для рук, задний карман на молнии и боковой карман на липучке, обеспечивая безопасное хранение ваших вещей.
- Технология UA Storm обеспечивает отличную защиту от влаги, сохраняя воздухопроницаемость, что делает эти брюки идеальными для всех погодных условий.
- Легкая и прочная ткань предлагает исключительный комфорт, не утяжеляя, и гарантирует длительную износостойкость.
- Четырехполосная эластичность обеспечивает свободу движений, поддерживая вас во время интенсивных тренировок и повседневной активности.
- Эластичный пояс с шнурком и ширинка на кнопке обеспечивают надежную и комфортную посадку, легко регулируемую под ваше удобство.
- Экологически безопасное водоотталкивающее средство не содержит фтора и защищает от влаги, сохраняя окружающую среду и вашу одежду.</t>
  </si>
  <si>
    <t>UA Iso Chill 7/8 Leg NS</t>
  </si>
  <si>
    <t>1361023-561</t>
  </si>
  <si>
    <t>Мы изменили волокна и добавили научные знания, чтобы создать ткань, которая меняет правила игры, которая быстро отводит тепло от кожи, сохраняя прохладу. Ткань Iso-Chill помогает рассеивать тепло тела, делая его прохладным на ощупь. Материал отводит пот и очень быстро сохнет. Технология защиты от запаха предотвращает рост вызывающих запах микробов. Стратегические сетчатые панели для дополнительной воздухопроницаемости. Высокий нескользящий пояс для оптимальной посадки и поддержки, которые остаются на месте при каждом вашем движении. Передний карман.</t>
  </si>
  <si>
    <t>78% нейлон, 22% эластан</t>
  </si>
  <si>
    <t>1386899-001</t>
  </si>
  <si>
    <t>1373362-437</t>
  </si>
  <si>
    <t>Under Armour UA Armour Fleece Joggers - это идеальный выбор для тех, кто ищет комфортные и стильные спортивные штаны для занятий спортом и повседневной жизни. Эти штаны выполнены из мягкого и теплого материала Armour Fleece, который обеспечивает максимальный комфорт и тепло в холодную погоду. Уникальный дизайн с логотипом Under Armour делает эти штаны стильными и современными. Удобный пояс со шнурком позволяет регулировать посадку, а боковые карманы с молнией позволяют хранить вещи на месте во время движения. Under Armour UA Armour Fleece Joggers - это не только модный аксессуар, но и практичная вещь, которая подойдет для любой ситуации. Они идеально подходят для занятий спортом, прогулок на свежем воздухе и повседневной жизни. Не упустите возможность добавить комфорт и стиль в свой гардероб с помощью спортивных штанов от Under Armour.</t>
  </si>
  <si>
    <t>UA QUALIFIER ELITE TIGHT</t>
  </si>
  <si>
    <t>1379296-001</t>
  </si>
  <si>
    <t>Спортивные тайтсы UA QUALIFIER ELITE TIGHT от Under Armour – это синоним технологичного совершенства и комфорта, созданные для атлетов, стремящихся к новым личным рекордам и желающих чувствовать уверенность во время самых напряженных тренировок. Эти тайтсы, изготовленные из высококачественного эластичного материала, превосходно облегают тело, предлагая безупречную поддержку и уменьшенное сопротивление движению, позволяя спортсменам сосредоточиться на их производительности полностью. Продвинутая технология 4-way stretch гарантирует потрясающую гибкость и восстанавливаемость формы после растяжений, то есть тайтсы не теряют свои качества даже после длительного использования и множества стирок. Влагоотводящие свойства материала прекрасно справляются с потом, выделяемым во время интенсивных упражнений, а также быстро высыхают, обеспечивая постоянное ощущение свежести.</t>
  </si>
  <si>
    <t>Meridian Ankle Leg-PNK</t>
  </si>
  <si>
    <t>1369004-698</t>
  </si>
  <si>
    <t>UA UNSTOPPABLE JOGGERS</t>
  </si>
  <si>
    <t>1352027-253</t>
  </si>
  <si>
    <t>Если раньше вы не ходили в спортзал в штанах, то сделаете это сейчас. Разница заключается в деталях - от ультра-удобной ткани до водоотталкивающей отделки, благодаря которой они высыхают быстрее. Технология UA Storm отводит влагу, сохраняя воздухопроницаемость. Ткань отлично растягивается в 4-х направлениях. Материал отводит излишнюю влагу и очень быстро сохнет. Облегающий эластичный пояс с интегрированным шнурком. Открытые карманы для рук и прочный задний карман на молнии.</t>
  </si>
  <si>
    <t>коричневый</t>
  </si>
  <si>
    <t>1290261-601</t>
  </si>
  <si>
    <t>Свободная посадка для полного комфорта. 
Прочная трикотажная ткань с гладкой внешней стороной и мягким внутренним слоем. 
Материал отводит пот и очень быстро сохнет. 
Ребристый пояс с шнурком. 
Карманы по бокам, внутренний карман для телефона и 1 карман сзади. 
Ребристые манжеты.</t>
  </si>
  <si>
    <t>бордовый/белый</t>
  </si>
  <si>
    <t>TB12 Sleep Pant</t>
  </si>
  <si>
    <t>1300008-025</t>
  </si>
  <si>
    <t>Узор внутри ткани возвращает инфракрасную энергию вашему телу, усиливая локальный кровоток и увеличивая количество кислорода, достигающего ваших мышц, чтобы быстрее восстановить ваши мышцы. Невероятно мягкая модальная ткань премиум-класса для непревзойденного комфорта. 4-сторонняя эластичная конструкция лучше движется во всех направлениях. Материал впитывает пот и очень быстро сохнет. Застежка на шнурок. Машинная стирка.</t>
  </si>
  <si>
    <t>4-Way Srtetch. Легкий материал повышенной потности и эластичности.</t>
  </si>
  <si>
    <t>Вискоза 91%, Эластан 9%</t>
  </si>
  <si>
    <t>Motion UHR Legging</t>
  </si>
  <si>
    <t>1383607-003</t>
  </si>
  <si>
    <t>Женские тайтсы Motion UHR Legging — это сочетание высоких технологий и стильного дизайна, идеальное для активных женщин, которые ценят комфорт и функциональность в своей тренировочной одежде. Эти леггинсы изготовлены из высокоэластичного материала, который обеспечивает превосходную поддержку и свободу движений. 
Материал эффективно отводит влагу и позволяет коже дышать, сохраняя ощущение сухости и комфорта даже во время самых интенсивных тренировок. Высокая талия обеспечивает дополнительную поддержку и создает эффект подтянутого силуэта, что делает эти леггинсы идеальными для занятий йогой, фитнесом или бегом.
Эргономичный крой и плоские швы минимизируют риск раздражения кожи и обеспечивают идеальную посадку. Эти тайтсы легко сочетаются с различными элементами спортивного гардероба, добавляя стильный и современный акцент вашему образу. Независимо от того, будь это тренировка в зале или прогулка на свежем воздухе, тайтсы Motion UHR Legging станут вашим надежным спутником в достижении новых высот.</t>
  </si>
  <si>
    <t>82% полиэстер, 18% эластан</t>
  </si>
  <si>
    <t>UA HG Armour Prtd Lgs</t>
  </si>
  <si>
    <t>1386938-390</t>
  </si>
  <si>
    <t>Отправляетесь на тренировку? Термолеггинсы Under Armour — это настоящий прорыв в вашем спортивном гардеробе. Убедитесь сами!
- быстросохнущий материал HeatGear обеспечивает легкое ощущение прохлады на коже
- сетчатые панели для оптимальной вентиляции
- карман Drop-in Strength Pocket с правой стороны
- Технология Anti Odor ограничивает рост микроорганизмов, вызывающих неприятные запахи
- идеально подходят для силовых тренировок, футбола, волейбола или бега</t>
  </si>
  <si>
    <t>79% полиэстер, 21% эластан</t>
  </si>
  <si>
    <t>UA Drive Tapered Pant</t>
  </si>
  <si>
    <t>1364410-289</t>
  </si>
  <si>
    <t>Мужские узкие зауженные брюки Under Armour Golf UA Drive.
 Брюки для гольфа из мягкой эластичной ткани, созданные для комфорта.
 Технология UA Storm отталкивает воду, не жертвуя при этом воздухопроницаемостью.
 Ткань с микронитью UA сохнет быстрее, не прилипает к телу, не натирает и не растягивается, не впитывая пот.
 Функциональный трикотаж обеспечивает комфорт и эластичность трикотажа, сохраняя внешний вид и структуру.
 Из тканого материала- материал впитывает пот и очень быстро сохнет.
Технология защиты от запаха предотвращает рост микробов, вызывающих запах.
Эластичный пояс для максимальной мобильности и безумного комфорта.
 Плоская передняя часть - дизайн с 4 карманами.
 Отделка тканой этикеткой Under Armour на заднем правом кармане.</t>
  </si>
  <si>
    <t>90% полиэстер, 10% эластан</t>
  </si>
  <si>
    <t>34/34</t>
  </si>
  <si>
    <t>UA RIVAL FLC GRAPHIC JOGGER</t>
  </si>
  <si>
    <t>1370351-011</t>
  </si>
  <si>
    <t>Ультрамягкий флис из смесового хлопка средней плотности.
Матовая внутренняя поверхность для дополнительного тепла.
Скрытый эластичный пояс с внешним шнурком.
Открытые карманы для рук и надежный задний карман на кнопке.
Ребристые манжеты.</t>
  </si>
  <si>
    <t>80% хлопок 20% полиэстер</t>
  </si>
  <si>
    <t>1380843-410</t>
  </si>
  <si>
    <t>UA Vibe Woven Jogger</t>
  </si>
  <si>
    <t>1386557-289</t>
  </si>
  <si>
    <t>Брюки UA Vibe Woven Jogger — это сочетание современного дизайна и высокой функциональности для активного образа жизни. Изготовленные с применением технологии UA Storm, они эффективно отталкивают воду, сохраняя воздухопроницаемость. Модифицированный крой и легкая, эластичная ткань обеспечивают максимальный комфорт и свободу движений.
- Технология UA Storm делает брюки водоотталкивающими, не жертвуя их воздухопроницаемостью, что делает их пригодными для любых погодных условий.
- Легкие, эластичные материалы обеспечивают комфорт и долговечность, а их многофункциональный дизайн подходит для повседневного ношения.
- Эластичный пояс с внешним шнурком адаптируется к любой фигуре, обеспечивая надежную и комфортную посадку.
- Открытые карманы и задний карман на кнопке добавляют практичности, позволяя удобно хранить необходимые вещи.
- Эластичные манжеты на щиколотках позволяют сохранить тепло и комфорт даже на пробежке.
- Использованный переработанный полиэстер демонстрирует экологическую ответственность, совместно с современными технологическими решениями.</t>
  </si>
  <si>
    <t>87% полиэстер, 13% эластан</t>
  </si>
  <si>
    <t>Sportstyle Joggers CF Knit</t>
  </si>
  <si>
    <t>1290261-001</t>
  </si>
  <si>
    <t>1290261-011</t>
  </si>
  <si>
    <t>серый/белый</t>
  </si>
  <si>
    <t>1290261-090</t>
  </si>
  <si>
    <t>Прочная трикотажная ткань с гладкой лицевой стороной и мягкой внутренней стороной для сохранения тепла. Материал отводит пот и очень быстро сохнет. Ребристый пояс с внешней утяжкой. Задний левый карман и карманы для рук с внутренним карманом для телефона на правой стороне. Зауженные штанины и ребристые манжеты.</t>
  </si>
  <si>
    <t>1290261-390</t>
  </si>
  <si>
    <t>UA STRMPRF GOLF RAIN PTS</t>
  </si>
  <si>
    <t>1342718-001</t>
  </si>
  <si>
    <t>Ветро-влагозащитный материал
Технология UA Storm - защищает от непогоды, отталкивает воду при этом не жертвуя воздухопроницаемостью
Эластичный пояс с застежкой-кнопкой
Боковые карманы на молнии
Карман сзади
Боковые молнии внизу брючин</t>
  </si>
  <si>
    <t>UA UNSTOPPABLE TAPERED PANTS</t>
  </si>
  <si>
    <t>1352028-299</t>
  </si>
  <si>
    <t>Брюки Unstoppable Tapered Pants от Under Armour предназначены специально для бегунов, ценящих комфорт и технологические инновации. Изготовленные из комбинации полиэстера и эластана, они обеспечивают превосходную свободу движений и комфортность независимо от погодных условий. Технология UA Storm обеспечивает влагозащиту, защищая вас от дождя и гарантируя уверенность в любых погодных условиях.
- Материал мгновенно выводит влагу и быстро её испаряет, благодаря чему сохраняется сухость и комфорт на протяжении всей тренировки.
- Эластичность ткани позволяет полностью сосредоточиться на движении, обеспечивая непревзойденную свободу и поддержку.
- Эластичный пояс со шнурком предлагает надежную фиксацию, поддерживая идеальную посадку во время интенсивных нагрузок.
- Боковые карманы и задний карман на молнии дают быстрый доступ к необходимым вещам.
- Эти брюки идеально подойдут для бега, благодаря их легкости, долговечности и технологическим прорывам.</t>
  </si>
  <si>
    <t>1356416-035</t>
  </si>
  <si>
    <t>Ультрамягкий флис из смесового хлопка средней плотности с начесом на внутренней стороне для дополнительного тепла.
Облегающий эластичный пояс с внешним шнурком.
Открытые карманы для рук.
Удлиненные манжеты в рубчик.</t>
  </si>
  <si>
    <t>1356416-558</t>
  </si>
  <si>
    <t>Брюки Under Armour Rival Fleece Joggers. Ультрамягкий флис из смесового хлопка средней плотности с начесом внутри для дополнительного тепла. Обтянутый эластичный пояс с внешним шнурком. Открытые карманы для рук. Удлиненные манжеты в рубчик.</t>
  </si>
  <si>
    <t>Favorites Legging</t>
  </si>
  <si>
    <t>1356463-035</t>
  </si>
  <si>
    <t>Этот сверхлегкий хлопчатобумажный материал создан, чтобы обеспечивать вам ощущение легкости и комфорта. Мягкий, эластичный широкий пояс. Прилегающий крой, который не стесняет движения.</t>
  </si>
  <si>
    <t>58% хлопок, 31% полиэстер, 11 эластан</t>
  </si>
  <si>
    <t>UA Armour Fleece Jogger</t>
  </si>
  <si>
    <t>1357123-310</t>
  </si>
  <si>
    <t>Armor Fleece - легкий, дышащий и эластичный материал для большей свободы движений.</t>
  </si>
  <si>
    <t>UA HydraFuse Ankle Leg-PPL</t>
  </si>
  <si>
    <t>1359547-554</t>
  </si>
  <si>
    <t>Леггинсы Under Armour HydraFuse Ankle Leg-PPL - это жгучий коктейль из новейших технологий комфорта и практичности для ваших тренировок. Леггинсы сделаны из сверхмягкой и эластичной ткани, которая покрыта увлажняющими микросферами, активирующимися во время тренировок и предотвращяющими сухост вашей кожи. Легинсы с высокой талией, оснашены эластичным поясов в районе поясницы для ее поддержания, моментально сохнут и отводят пот. Испытайте на себе технологичность и удобство.</t>
  </si>
  <si>
    <t>UA HydraFuse. Поддерживает уровень увлажненности кожи, защищает от обезвоживания, сухости и зуда. Защищает кожу от холода, обладая криопротекторными свойствами. Крошечные капсулы натурального увлажнителя встроены в волокна ткани и активируются при контакте с кожей.</t>
  </si>
  <si>
    <t>UA HG Armour Leggings</t>
  </si>
  <si>
    <t>1361586-001</t>
  </si>
  <si>
    <t>Держим цены</t>
  </si>
  <si>
    <t>Тайтсы Men HG Leggings от Under Armour — это идеальный выбор для спортсменов, стремящихся к лучшим результатам. Они выполнены в классическом цвете и сделаны из 79% полиэстера и 21% эластана, обеспечивая легкость и поддержку. Технология HeatGear и продуманные сетчатые вставки увеличивают комфорт, быстрота высыхания позволяет ощущать свежесть на протяжении всей тренировки. Рекомендуется ручная стирка.
- Ткань HeatGear обеспечивает превосходное покрытие и фиксацию, не утяжеляя, что делает эти тайтсы идеальными для интенсивных тренировок.
- Определенным образом расположенные сетчатые панели улучшают вентиляцию, поддерживая комфортную температуру тела.
- Быстро сохнущий материал отводит влагу, сохраняя ощущение сухости даже в самых жарких условиях.
- Специальная технология защищает от неприятных запахов, предотвращая рост вызывающих запах микробов.
- Эргономичный дизайн увеличивает износостойкость, защищая швы от истирания в ключевых зонах.
- Широкий эластичный пояс с логотипом Under Armour обеспечивает надежную посадку и улучшает общий внешний вид.</t>
  </si>
  <si>
    <t>79% полиэстер, 21% эластан</t>
  </si>
  <si>
    <t>1361586-090</t>
  </si>
  <si>
    <t>79% полиэстер; 21% эластан</t>
  </si>
  <si>
    <t>1361586-100</t>
  </si>
  <si>
    <t>1361586-390</t>
  </si>
  <si>
    <t>Сверхлегкая ткань HeatGear обеспечивает превосходное покрытие, не утяжеляя вас. Стратегические сетчатые панели для дополнительной вентиляции там, где это необходимо. Материал отводит пот и очень быстро сохнет. Технология защиты от запаха предотвращает рост вызывающих запах микробов. Эргономичный дизайн защищает швы от участков с высокой степенью истирания. Широкий эластичный пояс с надписью.</t>
  </si>
  <si>
    <t>1361586-690</t>
  </si>
  <si>
    <t>UA HG Armour 3/4 Legging</t>
  </si>
  <si>
    <t>1361588-001</t>
  </si>
  <si>
    <t>1361642-112</t>
  </si>
  <si>
    <t>UA RIVAL TERRY JOGGER-BRN</t>
  </si>
  <si>
    <t>1361642-176</t>
  </si>
  <si>
    <t>80% хлопок  20% полиэстер</t>
  </si>
  <si>
    <t>UA JD AF JOGGERS</t>
  </si>
  <si>
    <t>1361959-310</t>
  </si>
  <si>
    <t>Детские-подростковые утепленные спортивные брюки Under Armour.
Характеристики:
Мягкий, теплый материал
Эластичный пояс со шнурком для регулировки размера
Боковые карманы</t>
  </si>
  <si>
    <t>HG Armour HiRise 7/8 NS</t>
  </si>
  <si>
    <t>1365335-001</t>
  </si>
  <si>
    <t>HG Armour HiRise Leg NS</t>
  </si>
  <si>
    <t>1365336-001</t>
  </si>
  <si>
    <t>Tech HiRise Legging</t>
  </si>
  <si>
    <t>1365336-025</t>
  </si>
  <si>
    <t>Тайтсы Under Armour Tech HiRise Legging — это женские спортивные леггинсы, разработанные для комфорта и поддержки во время тренировок. Они выполнены из ультралегкой влагоотводящей ткани HeatGear.
Материал HeatGear: используется сверхлегкая ткань HeatGear, которая обеспечивает отличное покрытие без утяжеления и обладает всеми преимуществами компрессии UA.Материал эффективно отводит пот и очень быстро сохнет, помогая сохранять ощущение сухости и свежести во время интенсивных нагрузок.Модель имеет широкий эластичный пояс с высокой посадкой для дополнительной поддержки и комфорта.
Стратегические сетчатые вставки обеспечивают необходимую воздухопроницаемость в зонах повышенного потоотделения.
Обновленная эргономичная конструкция исключает швы в местах сильного трения, повышая долговечность и комфорт.
Конструкция из эластичного материала, тянущегося в 4 направлениях, обеспечивает свободу движений в любом направлении.
Имеется удобный боковой карман для хранения мелочей. 
Эти тайтсы идеально подходят в качестве базового слоя для занятий спортом и фитнесом, обеспечивая поддержку и прохладу в теплую погоду.</t>
  </si>
  <si>
    <t>1365336-348</t>
  </si>
  <si>
    <t>Представляем вам модные и функциональные женские тайтсы от известного бренда Under Armour. Эти тайтсы идеально подойдут для занятий спортом и активного образа жизни.Изготовленные из высококачественного материала, состоящего из 87% полиэстера и 13% эластана, они обеспечивают отличную посадку и комфорт во время тренировок. Компрессионная ткань позволяет вашим мышцам работать эффективнее, а плоский шов гарантирует отсутствие нежелательных раздражений на коже.Женские тайтсы Under Armour имеют среднюю посадку, что обеспечивает стабильную поддержку и комфорт во время движения. Они идеально сидят на фигуре, подчеркивая ее преимущества.</t>
  </si>
  <si>
    <t>1365336-432</t>
  </si>
  <si>
    <t>1365336-560</t>
  </si>
  <si>
    <t>сиреневый</t>
  </si>
  <si>
    <t>Armour AOP Ankle Leg</t>
  </si>
  <si>
    <t>1365338-963</t>
  </si>
  <si>
    <t>HeatGear Armor - это наш оригинальный базовый слой, который вы надеваете первым и снимаете последним. Поэтому мы сделали его особенно комфортным, способным вывести пот и тянущимся в 4 направлениях, чтобы вы могли двигаться несмотря ни на что. Наша самая легендарная вещь: сверхлегкая ткань HeatGear обеспечивает превосходное покрытие, не отягощая вас. Материал отводит пот и высыхает очень быстро.Растягивающаяся в четырех направлениях конструкция позволяет сосредотичиться на результате. Технология anti-odor предотвращает рост вызывающих запах микробов. Эргономичные плоские швы обеспечивают удобную посадка без натирания. Высокий нескользящий пояс для оптимальной поддержки, которая сохранит тайтсы на месте при каждом движении.</t>
  </si>
  <si>
    <t>розовый/черный</t>
  </si>
  <si>
    <t>UA Empowered Tight</t>
  </si>
  <si>
    <t>1365671-001</t>
  </si>
  <si>
    <t>Мы создали это снаряжение, чтобы вы могли бегать в холодную погоду - с вентилируемой панелью, которая дышит, чтобы вы чувствовали себя комфортно и сосредоточенно.  Расширяемый центральный передний карман на поясе водонепроницаем и надежно защищает ваш телефон. Материал отводит пот и очень быстро сохнет. Технология защиты от запаха предотвращает рост вызывающих запах микробов. Боковой карман.</t>
  </si>
  <si>
    <t>UA ColdGear. Теплая и легкая экипировка для холодной погоды. Начесное трикотажное полотно удерживает тепло. Система контроля влаги отводит пот от кожи, позволяя ему быстрее испаряться.; 4-Way Srtetch. Легкий материал повышенной потности и эластичности.</t>
  </si>
  <si>
    <t>HG Armour Ankle Leg Nov</t>
  </si>
  <si>
    <t>1369292-698</t>
  </si>
  <si>
    <t>HeatGear Armor - это наш оригинальный базовый слой с высокими эксплуатационными характеристиками - тот, который вы надеваете первым, а снимаете последним. Поэтому мы сделали его особенно комфортным, отводит пот и растягиваясь, чтобы вы могли двигаться несмотря ни на что. Сверхлегкая ткань HeatGear обеспечивает превосходное прилегание. Материал отводит пот и очень быстро сохнет. Технология защиты от запаха предотвращает рост вызывающих запах микробов.
Эргономичные плоские швы для удобной посадки без натирания. Нескользящий пояс UA с высокой посадкой для оптимального покрытия и поддержки, который остается на месте при каждом вашем движении.</t>
  </si>
  <si>
    <t>Tech Pant</t>
  </si>
  <si>
    <t>1369385-002</t>
  </si>
  <si>
    <t>HeatGear Armor - это наш оригинальный базовый слой с высокими эксплуатационными характеристиками - тот, который вы надеваете первым, а снимаете последним. Поэтому мы сделали его особенно комфортным, отводит пот и растягивается, чтобы вы могли двигаться несмотря ни на что. Сверхлегкая ткань HeatGear обеспечивает превосходное прилегание. Материал отводит пот и очень быстро сохнет. Технология защиты от запаха предотвращает рост вызывающих запах микробов.</t>
  </si>
  <si>
    <t>1369385-020</t>
  </si>
  <si>
    <t>UA Launch Ankle Print Tights</t>
  </si>
  <si>
    <t>1369772-008</t>
  </si>
  <si>
    <t>Тайтсы укороченные</t>
  </si>
  <si>
    <t>Тайтсы Under Armour Fly Fast Ankle Prt Tights идеально подходят для интенсивных тренировок. Эти тайтсы обеспечивают отличную поддержку и эластичность, позволяя двигаться без ограничений и нивелируя усталость мышц. Стильные принты добавляют уникальности вашему спортивному образу, выделяя вас на любом занятии.
- Высокоэластичный материал гарантирует плотную посадку, поддерживая мышцы и предотвращая усталость во время тренировок.
- Технология отвода влаги обеспечивает сухость и комфорт даже в самых интенсивных условиях.
- Дышащая ткань способствует лучшей вентиляции, предотвращая перегрев и обеспечивая комфорт.
- Устойчивая к износу ткань выдерживает активные тренировки и частую стирку без потери формы.
- Эластичный пояс обеспечивает надежную фиксацию, позволяя сосредоточиться на тренировке, а не на одежде.</t>
  </si>
  <si>
    <t>1369772-044</t>
  </si>
  <si>
    <t>UA Fly Fast 3.0 Tight</t>
  </si>
  <si>
    <t>1369773-001</t>
  </si>
  <si>
    <t>Компрессия должна быть плотно прилегающей, но не слишком узкой. Подгонка UA Armor Fly Fast дает вам только это и многое другое. Мягкая, быстросохнущая ткань формирует и поддерживает ощущение фиксации, которое очень лестно и заставляет потеть. Сверхлегкая ткань HeatGear обеспечивает превосходное покрытие, не отягощая вас, материал отводит пот и очень быстро сохнет. Технология защиты от запаха предотвращает рост вызывающих запах микробов.</t>
  </si>
  <si>
    <t>UA Launch Tights</t>
  </si>
  <si>
    <t>1369773-348</t>
  </si>
  <si>
    <t>Rival Terry Jogger</t>
  </si>
  <si>
    <t>1369854-001</t>
  </si>
  <si>
    <t>UA Rival Terry Jogger - это идеальный выбор для всех, кто ценит комфорт, стиль и функциональность в одежде для спорта и активного отдыха. Сочетая в себе инновационные технологии и высококачественные материалы, эти спортивные штаны обеспечивают непревзойденную посадку и свободу движений. Изготовленные из мягкого и прочного материала, UA Rival Terry Jogger обеспечивают комфортное прилегание к телу и неограниченную подвижность во время тренировок или активного отдыха. Эластичный пояс с регулируемым шнурком позволяет легко регулировать посадку и обеспечивает идеальную посадку. Эти штаны также обладают влагоотталкивающими свойствами, делая их незаменимыми во время физических нагрузок или при перемене погоды. Они быстро выводят влагу наружу, чтобы вы оставались сухими и комфортными. UA Rival Terry Jogger не только функциональны, но и имеют современный и стильный дизайн. Вы сможете выразить свою индивидуальность и модный стиль, нося эти штаны как на тренировках, так и в повседневной жизни. Не упускайте возможность тренироваться с комфортом и стилем - выберите UA Rival Terry Jogger. Эти спортивные штаны станут незаменимыми в вашем гардеробе, добавляя уверенности и комфорта в вашу активную жизнь.</t>
  </si>
  <si>
    <t>70% полиэстер, 25% тенсел, 5% эластан</t>
  </si>
  <si>
    <t>Armour Sport Woven Pant</t>
  </si>
  <si>
    <t>1373004-001</t>
  </si>
  <si>
    <t>Детские-подростковые беговые штаны Under Armour (женские)
87% полиэстер / 13% эластан
Ветро-влагозащитный материал с влаговыводящими свойствами
Технология UA Storm - защищает от непогоды, отталкивает воду при этом не жертвуя воздухопроницаемостью
Технология 4-Way Srtetch анатомически повторяет форму тела и обеспечивает максимальный комфорт движения
Эластичный пояс со шнурком для регулировки размера
Боковые карманы</t>
  </si>
  <si>
    <t>UA Armour Fleece Joggers-BLK</t>
  </si>
  <si>
    <t>1373362-001</t>
  </si>
  <si>
    <t>1373362-012</t>
  </si>
  <si>
    <t>1373362-025</t>
  </si>
  <si>
    <t>1373362-400</t>
  </si>
  <si>
    <t>синий/черный</t>
  </si>
  <si>
    <t>UA Essential Fleece Jogger</t>
  </si>
  <si>
    <t>1373882-012</t>
  </si>
  <si>
    <t>Under Armour UA Essential Fleece Jogger - это идеальный выбор для тех, кто ищет удобство и комфорт во время тренировок или повседневных занятий. Эти штаны изготовлены из мягкого и теплого флиса, который обеспечивает максимальный комфорт в любых условиях. Штаны имеют удобную посадку и современный дизайн, который делает их идеальным выбором для тех, кто хочет выглядеть стильно и уверенно. Эластичный пояс с регулируемым шнурком позволяет создать индивидуальную посадку и обеспечивает дополнительную поддержку. Under Armour UA Essential Fleece Jogger также имеет эластичные манжеты, которые обеспечивают тепло и комфорт в прохладную погоду. Два боковых кармана и один карман на молнии на задней части штанов позволяют хранить вещи на месте во время движения. Эти штаны идеально подходят для занятий спортом или повседневного использования. Они легко сочетаются с другой спортивной одеждой или с обычной повседневной одеждой, что делает их универсальным выбором для любого стиля. Не упустите возможность добавить Under Armour UA Essential Fleece Jogger в свой гардероб и наслаждайтесь комфортом и стилем каждый день.</t>
  </si>
  <si>
    <t>3XL</t>
  </si>
  <si>
    <t>56-58</t>
  </si>
  <si>
    <t>1373882-203</t>
  </si>
  <si>
    <t>Under Armour UA Essential Fleece Jogger - это идеальный выбор для тех, кто ищет удобство и комфорт во время тренировок или повседневных занятий. Эти штаны изготовлены из мягкого и теплого флиса, который обеспечивает максимальный комфорт в любых условиях. Штаны имеют удобную посадку и современный дизайн, который делает их идеальным выбором для тех, кто хочет выглядеть стильно и уверенно. Эластичный пояс с регулируемым шнурком позволяет создать индивидуальную посадку и обеспечивает дополнительную поддержку. Under Armour UA Essential Fleece Jogger также имеет эластичные манжеты, которые обеспечивают тепло и комфорт в прохладную погоду. Два боковых кармана и один карман на молнии на задней части штанов позволяют хранить вещи на месте во время движения. Эти штаны идеально подходят для занятий спортом или повседневного использования. Они легко сочетаются с другой спортивной одеждой или с обычной повседневной одеждой, что делает их универсальным выбором для любого стиля. Не упустите возможность добавить Under Armour</t>
  </si>
  <si>
    <t>80% хлопок, 20% полиэстер</t>
  </si>
  <si>
    <t>1373882-391</t>
  </si>
  <si>
    <t>1373882-410</t>
  </si>
  <si>
    <t>Motion Jogger</t>
  </si>
  <si>
    <t>1375077-002</t>
  </si>
  <si>
    <t>Брюки Under Armour Motion Jogger для женщин созданы специально для активных фитнес-занятий и движения. Эти брюки сочетают в себе стиль и функциональность благодаря продуманному дизайну и использованию современных материалов. Изготовленные из качественного полиэстера и эластана, они обеспечивают отличную эластичность и комфорт, поддерживая свободу движений во время тренировок. Практичные карманы добавляют удобства, позволяя хранить необходимые мелочи под рукой. Брюки имеют универсальный стильный вид, что делает их идеальными как для занятий спортом, так и для повседневной носки.</t>
  </si>
  <si>
    <t>80% полиэстер, 20% эластан</t>
  </si>
  <si>
    <t>1375077-025</t>
  </si>
  <si>
    <t>80% полиэстер, 20% эластан</t>
  </si>
  <si>
    <t>1375077-348</t>
  </si>
  <si>
    <t>UA Launch Pant</t>
  </si>
  <si>
    <t>1376800-452</t>
  </si>
  <si>
    <t>Under Armour Storm Run Pant предлагают превосходную защиту и комфорт для бегунов, стремящихся преодолевать дистанции при любых погодных условиях. Состав из 87% полиэстера и 13% эластана дарит максимальный комфорт и свободу движений. Технология UA Storm эффективно отталкивает воду, сохраняя ткани дышащими для поддержания оптимального микроклимата.
- Легкие и комфортные, эти брюки предлагают эргономичную посадку с изогнутыми швами для полного спектра движений.
- Отражающие элементы на брюках увеличивают видимость в темное время суток, способствуя безопасности.
- Эластичный пояс с внутренним шнурком обеспечивает идеальную подгонку, не стесняя движений.
- Функциональные карманы на молнии надежно сохраняют личные вещи, не создавая лишнего объема.
- Они созданы для достижения спортивных высот, придерживая баланс между защитой от любых погодных условий и свободой движения.</t>
  </si>
  <si>
    <t>UA OutRun the Storm Pants</t>
  </si>
  <si>
    <t>1377042-348</t>
  </si>
  <si>
    <t>Технология UA Storm отталкивает воду, не жертвуя воздухопроницаемостью.
Ветрозащитная конструкция защитит вас от непогоды.
Прочная, легкая эластичная ткань обеспечивает повышенную подвижность и комфорт.
Материал, растягивающийся в 4 направлениях, лучше тянется.
Обновленный центральный задний карман водонепроницаем и надежно защищает ваш телефон.
Мягкий трикотажный пояс с внутренним шнурком для надежной посадки.
Молнии на щиколотках для легкого надевания/снимания.
Светоотражающие детали .</t>
  </si>
  <si>
    <t>Motion Flare Pant</t>
  </si>
  <si>
    <t>1379176-003</t>
  </si>
  <si>
    <t>Брюки Under Armour  Motion Flare  — отличная комбинация комфорта и стиля: мягкие, дышащие, с растяжением и эффектным расклешённым силуэтом силуэтом, который подчёркивает фигуру и позволяет двигаться свободно. Стильные и функциональные, они идеальны для спорта и повседневной носки.
Особенности:
• Ультра мягкий, дышащий текстиль
• Материал с 4х-сторонним растяжением — свобода в движении во всех направлениях
• Широкий плоский пояс — удобно на бёдрах, не сдавливает
• Надёжное удержание влаги — ткань эффективно отводит влагу и остаётся комфортной
• Элегантный крой: узкие в бёдрах и расклешённые книзу
• Удобный врезной карман сбоку — для мелочей.</t>
  </si>
  <si>
    <t>XSS</t>
  </si>
  <si>
    <t>40-42 укороч</t>
  </si>
  <si>
    <t>UA AF Storm Pant</t>
  </si>
  <si>
    <t>1379286-001</t>
  </si>
  <si>
    <t>Невероятно теплый, легкий Armor Fleece® обеспечивает необходимую эластичность. Имея почти нулевой вес, технология UA Storm не пропускает влагу. Благодаря этим двум технологиям вам больше никогда не придется тренироваться в помещении.</t>
  </si>
  <si>
    <t>UA Armour Fleece. Легкий, удобный и супермягкий трикотаж для разминки и повседневной носки. Мягкий внутренний слой удерживает тепло и сохраняет комфортную температуру при ношении.;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</si>
  <si>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черный/серый</t>
  </si>
  <si>
    <t>QUALIFIER RUN ELITE PANT</t>
  </si>
  <si>
    <t>1379289-001</t>
  </si>
  <si>
    <t>Спортивные штаны UA QUALIFIER RUN ELITE PANT – идеальный выбор для атлетов, стремящихся к максимальному комфорту и технологичности во время своих беговых сессий. Разработанные с применением передовых материалов и конструкции, эти штаны оптимизированы для улучшения атлетической производительности и обеспечения вентиляции даже на длинных дистанциях и во время высокоинтенсивных тренировок. Сочетание легкого и быстросохнущего тканевого состава с уникальной технологией 4-way stretch гарантирует непревзойденную свободу движений и поддерживает естественный теплообмен тела. Продуманные детали, такие как замки на нижней части ног для облегчения одевания и снятия, безопасно хранящие личные вещи карманы на молнии и внутренние шнурки для регулировки посадки, делают эти штаны максимально практичными для использования в любых условиях. Анатомический дизайн и минималистичный стиль подчеркивают динамичный образ, сохраняя элегантность даже во время активных физических нагрузок. С рефлективными акцентами, которые повышают видимость в тусклых или темных условиях, UA QUALIFIER RUN ELITE PANT не только защищают бегуна, но и придают уверенности в безопасном возвращении домой.</t>
  </si>
  <si>
    <t>59% эластерелл-п, 41% полиэстер</t>
  </si>
  <si>
    <t>QUALIFIER ELITE COLD PANT</t>
  </si>
  <si>
    <t>1379307-001</t>
  </si>
  <si>
    <t>Презентуем QUALIFIER ELITE COLD PANT – спортивные штаны от Under Armour, специально разработанные для атлетов, которые не довольствуются малым и несгибаемо движутся вперед, не считаясь с холодом. Идеальное сочетание инноваций и комфорта делает эти штаны незаменимым атрибутом любой спортивной экипировки.
Теплоизоляционные качества: При помощи технологии ColdGear, эти штаны удерживают тепло вашего тела, предотвращая его потерю в холодные дни, а также обеспечивают эффективное дыхание кожи и отвод влаги.
Предельная гибкость и подвижность: Материал с высокой степенью эластичности разработан специально для обеспечения свободы движений, позволяя штанам гнуться и растягиваться вместе с вашим телом при любых нагрузках.
Современный спортивный дизайн: Стильный и утонченный силуэт QUALIFIER ELITE COLD PANT укомплектуют любой спортивный наряд, позволяя без труда переходить от тренировочного зала к повседневным занятиям.
Влагоотводящая технология: Ткань, обладающая способностью быстро отводить влагу, поддерживает комфортное ощущение сухости, даже при интенсивных физических нагрузках.
Функциональные элементы: Комфортные карманы и надежные застежки-молнии позволяют безопасно носить с собой нужные мелочи, а удобный пояс на резинке с внутренним шнурком обеспечивает идеальную посадку.
Долговечность и износостойкость: Использование прочных материалов и качественные швы гарантируют, что штаны QUALIFIER ELITE COLD PANT сохранят свою форму и функциональность надолго.
Универсальный характер: Эти штаны подойдут для широкого спектра активностей и условий – от раннего утреннего бега до вечерних тренировок, от спортзала до улицы, и их можно комбинировать со множеством стилей и верхней одежды.
Когда дело доходит до совокупности производительности и стиля, QUALIFIER ELITE COLD PANT от Under Armour олицетворяют максимум того и другого. Выберите их, чтобы оставаться в форме, чувствовать себя комфортно и выглядеть отлично – независимо от погоды. Эти штаны – ваше преимущество в холод, температурный баланс и поддержка для ваших самых амбициозных спортивных целей.</t>
  </si>
  <si>
    <t>87% полиэстер,13% эластан</t>
  </si>
  <si>
    <t>UA Rival Fleece Jogger</t>
  </si>
  <si>
    <t>1379438-012</t>
  </si>
  <si>
    <t>В этом снаряжении вы согреетесь и будете готовы практически ко всему, что вы делаете — оно легкое, удобное и очень мягкое внутри. Ультрамягкий флис из смесового хлопка с начесом внутри для дополнительного тепла. Скрытый эластичный пояс с внешним шнурком. Открытые карманы для рук.</t>
  </si>
  <si>
    <t>UA Rival Fleece Joggers</t>
  </si>
  <si>
    <t>1379774-025</t>
  </si>
  <si>
    <t>Брюки UA Rival Fleece Joggers от Under Armour — это превосходное решение для комфорта и стиля во время активного отдыха или ежедневной носки. Изготовленные из 80% хлопка и 20% полиэстера, эти джоггеры обеспечивают тепло и мягкость. Эластичный пояс со шнурком и удобные карманы делают их идеальными, стильными и функциональными. Уход за брюками упрощается деликатной машинной стиркой при 30 градусах.
- Мягкий и теплый материал сохраняет комфорт в любом климате, гарантируя, что брюки Under Armour станут незаменимыми в вашем гардеробе.
- Эластичный пояс со шнурком обеспечивает индивидуальную подгонку, что повышает удобство ношения и адаптируется под любые условия.
- Боковые карманы позволяют держать необходимые мелочи всегда под рукой.
- Задний карман добавляет дополнительной функциональности, обеспечивая полезное пространство для хранения.
- Универсальность материала позволяет наслаждаться активными движениями без ограничений, что делает эти брюки надежным компаньоном.</t>
  </si>
  <si>
    <t>1379774-390</t>
  </si>
  <si>
    <t>Мягкий, теплый материал
Эластичный пояс со шнурком для регулировки размера
Боковые карманы
Карман сзади</t>
  </si>
  <si>
    <t>1379774-410</t>
  </si>
  <si>
    <t>UA Rival Fleece Script Jgrs</t>
  </si>
  <si>
    <t>1379789-001</t>
  </si>
  <si>
    <t>черный/красный</t>
  </si>
  <si>
    <t>1379846-001</t>
  </si>
  <si>
    <t>Женские спортивные брюки UA Unstoppable Fleece Sweatpants - это идеальный выбор для комфортной и стильной повседневной носки. Они изготовлены из высококачественного флисового материала, который обеспечивает мягкость и тепло. Эти брюки имеют свободный крой, который обеспечивает полную свободу движения.</t>
  </si>
  <si>
    <t>1379846-840</t>
  </si>
  <si>
    <t>оранжевый</t>
  </si>
  <si>
    <t>1380843-025</t>
  </si>
  <si>
    <t>1380843-390</t>
  </si>
  <si>
    <t>UA Train Seamless Legging</t>
  </si>
  <si>
    <t>1381662-001</t>
  </si>
  <si>
    <t>UA Rival Fleece Cargo Jogger</t>
  </si>
  <si>
    <t>1382134-026</t>
  </si>
  <si>
    <t>Мужские спортивные брюки UA Rival Fleece Cargo Jogger созданы для максимального комфорта во время тренировок и повседневной носки. Состав из 51% текстиля и 49% полиэстера обеспечивает отличное теплосбережение и мягкость, делая их идеальными для прохладной погоды. Флисовый материал удерживает тепло, обеспечивая уют в прохладных условиях без лишнего веса.
- Прочная ткань гарантирует долговечность и устойчивость к износу, что подходит для повседневной носки.
- Свободный крой позволяет свободно двигаться, не ограничивая активность даже при интенсивных нагрузках.
- Карманы позволяют удобно хранить мелкие предметы, обеспечивая практичность и функциональность.
- Спортивный стиль сочетается с комфортом, создавая идеальный образ для тех, кто ценит уют.
- Легкий уход и сохранение формы после стирки делают их практичным выбором для ежедневной носки.</t>
  </si>
  <si>
    <t>1382134-390</t>
  </si>
  <si>
    <t>UA TRAIL RUN PANTS</t>
  </si>
  <si>
    <t>1383245-246</t>
  </si>
  <si>
    <t>Технология UA Storm® отталкивает воду, не жертвуя воздухопроницаемостью. Ветроустойчивая эластичная ткань легкая, но прочная. Мягкий трикотажный пояс с карманами и внешним шнурком. Надежный задний карман на молнии и карманы на кнопках. Карабин с D-образным кольцом быстро фиксирует перчатки или ключи. Используется водоотталкивающая обработка без фтора.</t>
  </si>
  <si>
    <t>UA HG Authentics Legging</t>
  </si>
  <si>
    <t>1383559-001</t>
  </si>
  <si>
    <t>Встречайте тайтсы UA HG Authentics Legging от Under Armour – идеальное сочетание инновационной технологии и стиля для неустанной спортсменки.
Эти высококлассные тайтсы, созданные с использованием уникальной технологии HeatGear®, подарят вам непревзойденный комфорт и поддержку в ходе самых жарких тренировок. Изготовленные из супергладкого материала с двухсторонним растяжением, UA HG Authentics Legging обеспечивают потрясающую свободу движений и формируют силуэт, подчеркивая естественную красоту вашей фигуры.
Прохлада и сухость на протяжении всего дня гарантирована благодаря материалу с технологией влагоотведения, который быстро выводит пот и ускоряет испарение влаги, позволяя вам оставаться сосредоточенной на своих целях, не отвлекаясь на дискомфорт.
Высокая посадка тайтсов гарантирует надежное прилегание и используется для визуальной коррекции фигуры, придавая уверенности в каждом движении. Широкий пояс не врезается в кожу и не сползает, позволяя вам делать акцент на тренировке, а не на одежде.
Эргономические швы и усиленная область промежности способствуют увеличению износостойкости и комфорта. Подборка мягких и прочных материалов предотвращает натирание и раздражение кожи, даже во время длительных и интенсивных упражнений.
Закончите свой спортивный образ парой тайтсов UA HG Authentics Legging от Under Armour, и ощутите, как истинное качество превращает каждую тренировку в победу над собственными ограничениями.</t>
  </si>
  <si>
    <t>1383559-015</t>
  </si>
  <si>
    <t>Встречайте тайтсы UA HG Authentics Legging от Under Armour – идеальное сочетание инновационной технологии и стиля для неустанной спортсменки. Эти высококлассные тайтсы, созданные с использованием уникальной технологии HeatGear®, подарят вам непревзойденный комфорт и поддержку в ходе самых жарких тренировок. Изготовленные из супергладкого материала с двухсторонним растяжением, UA HG Authentics Legging обеспечивают потрясающую свободу движений и формируют силуэт, подчеркивая естественную красоту вашей фигуры. Прохлада и сухость на протяжении всего дня гарантирована благодаря материалу с технологией влагоотведения, который быстро выводит пот и ускоряет испарение влаги, позволяя вам оставаться сосредоточенной на своих целях, не отвлекаясь на дискомфорт. Высокая посадка тайтсов гарантирует надежное прилегание и используется для визуальной коррекции фигуры, придавая уверенности в каждом движении. Широкий пояс не врезается в кожу и не сползает, позволяя вам делать акцент на тренировке, а не на одежде. Эргономические швы и усиленная область промежности способствуют увеличению износостойкости и комфорта. Подборка мягких и прочных материалов предотвращает натирание и раздражение кожи, даже во время длительных и интенсивных упражнений. Закончите свой спортивный образ парой тайтсов UA HG Authentics Legging от Under Armour, и ощутите, как истинное качество превращает каждую тренировку в победу над собственными ограничениями.</t>
  </si>
  <si>
    <t>1383559-572</t>
  </si>
  <si>
    <t>UA HG Legging</t>
  </si>
  <si>
    <t>1383559-681</t>
  </si>
  <si>
    <t>1383559-713</t>
  </si>
  <si>
    <t>Tech Print Panel Ankle Leg</t>
  </si>
  <si>
    <t>1386407-002</t>
  </si>
  <si>
    <t>Under Armour Tech Print Panel Ankle Leggings  — стильные и функциональные леггинсы для тренировок и повседневной носки. Мягкий, эластичный и «дышащий» материал комфортно облегает фигуру и обеспечивает свободу движений при упражнениях любого типа. Панельный крой подчёркивает силуэт, а технология влагоотведения удерживает ощущение сухости при интенсивных нагрузках. Подходят для зала, бега, йоги или активного дня.</t>
  </si>
  <si>
    <t>1386482-001</t>
  </si>
  <si>
    <t>1386557-338</t>
  </si>
  <si>
    <t>1386558-338</t>
  </si>
  <si>
    <t>PJT RCK ICON FLC PANT TOOLS</t>
  </si>
  <si>
    <t>1386903-707</t>
  </si>
  <si>
    <t>Брюки Under Armour PJT RCK ICON FLC PANT TOOLS — это идеальное сочетание комфорта и функциональности, созданные для активного образа жизни. Изготовленные из высококачественного сочетания хлопка и полиэстера, эти брюки предлагают мягкость, долговечность и отличную воздухопроницаемость, обеспечивая комфорт в любой ситуации. Свободный крой позволяет двигаться без ограничений, а практичная застежка на завязках обеспечивает надежную фиксацию на талии, адаптируясь под индивидуальные предпочтения. Эти брюки идеальны для тренировок, прогулок и отдыха. Универсальный дизайн позволяет легко интегрировать их в любой гардероб, сочетая с различными стилями. Наслаждайтесь удобством и стилем, где бы вы ни были.</t>
  </si>
  <si>
    <t>Motion Ankle Leg EMEA</t>
  </si>
  <si>
    <t>1388647-410</t>
  </si>
  <si>
    <t>Эта специально разработанная ткань обладает уникальной мягкостью, при этом отлично отводит влагу. Она лёгкая, дышащая и готова к активным нагрузкам.
• Ультрамягкая ткань обеспечивает воздухопроницаемость и комфорт
• Материал отводит пот и очень быстро сохнет
• Ткань с 4-сторонней эластичностью свободно двигается в любом направлении
• Широкий плоский пояс с боковым прорезным карманом
• Технология контроля запаха минимизирует появление неприятных ароматов</t>
  </si>
  <si>
    <t>Motion Legging EMEA</t>
  </si>
  <si>
    <t>1388649-338</t>
  </si>
  <si>
    <t>Чрезвычайно мягкий и эластичный материал обеспечивает поддержку и длительный комфорт. Материал выводит пот и быстро сохнет. Фигурный, высокий пояс с двумя боковыми врезными карманами. Технология 4-Way Stretch для свободы движений. Технология контроля запаха помогает сохранять свежесть дольше.</t>
  </si>
  <si>
    <t>UA Unstoppable Woven Jogger</t>
  </si>
  <si>
    <t>1388823-005</t>
  </si>
  <si>
    <t>1388823-014</t>
  </si>
  <si>
    <t>1388823-466</t>
  </si>
  <si>
    <t>1388827-001</t>
  </si>
  <si>
    <t>1389358-390</t>
  </si>
  <si>
    <t>Under Armour Men's UA Icon Fleece Jgr Taping предлагает комфорт и стиль для повседневной носки, обеспечивая тепло и мягкость. Изготовленное из 80% хлопка и 20% полиэстера, это худи обладает уникальными характеристиками, делающими его незаменимым элементом гардероба.Ультрамягкий флис средней плотности обеспечивает исключительный комфорт и тепло, идеально подходящее для холодной погоды.
- Матовая внутренняя поверхность добавляет дополнительный слой тепла, сохраняя уют через весь день.
- Передний карман-кенгуру практичен и удобен для хранения мелочей или согревания рук.
- Ребристые манжеты и нижний край обеспечивают плотную посадку и защищают от проникновения ветра.
- Фирменные детали из тесьмы придают уникальный стиль и подчеркивают премиальное качество изделия.
- Многофункциональность делает это худи отличным выбором для повседневной носки, будь то на прогулке или в городской среде.</t>
  </si>
  <si>
    <t>PJT RCK WOVEN BOTTOM</t>
  </si>
  <si>
    <t>1389702-001</t>
  </si>
  <si>
    <t>Познакомьтесь с идеальным сочетанием стиля и комфорта в женских брюках UA Rival Hi Rise Woven Pant от Under Armour. Эти брюки, разработанные специально для женщин, идеально подходят для повседневной носки, обеспечивая дышащий и удобный крой на весь день. Они изготовлены из качественной смесовой ткани, состоящей на 87% из полиэстера и на 13% из эластана, что обеспечивает стандартный крой, гармонично дополняющий любой гардероб. Брюки доступны в модном коричневом цвете и станут универсальным дополнением к вашему повседневному образу, делая вас уверенной в себе и комфортно чувствующей себя в любом месте.</t>
  </si>
  <si>
    <t>черный/синий</t>
  </si>
  <si>
    <t>UA Rival Terry AOP Jogger Q1</t>
  </si>
  <si>
    <t>1390143-025</t>
  </si>
  <si>
    <t>Встречайте идеальное сочетание комфорта и стиля — брюки Under Armour Rival Terry AOP Jogger Q1. Эти штаны словно созданы для тех, кто ценит мягкость, тепло и свободу движений. Легкая французская футеровка с начесом нежно обнимает кожу своей мягкой внутренней стороной, в то время как гладкая внешняя поверхность добавляет изысканности вашему образу.
Инновационная ткань работает вместе с вами: она эффективно отводит влагу, позволяя телу дышать, и моментально высыхает, чтобы вы чувствовали себя комфортно даже в самых активных моментах дня.
Эластичный пояс с внешней шнуровкой создает идеальную посадку, подстраиваясь под вашу фигуру, а открытые карманы добавляют практичности, предоставляя место для мелочей или рук в моменты отдыха.
Эти брюки — не просто одежда, это ваш надежный спутник, который следует за вами повсюду: будь то утренняя пробежка, тренировка в зале или просто прогулка по городу. Они олицетворяют собой гармонию удобства, функциональности и современного дизайна.</t>
  </si>
  <si>
    <t>UA Unstoppable Cargo Pant</t>
  </si>
  <si>
    <t>1390256-004</t>
  </si>
  <si>
    <t>Эти брюки — как надежный компаньон в ваших приключениях. Они созданы для тех, кто ценит практичность и стиль, кто готов двигаться вперед, не отвлекаясь на мелочи. Свободный крой дарит вам ощущение безграничной свободы. Никаких стеснений, только легкость движений, будь то долгий день в городе, поход за город или интенсивная тренировка. Они словно вторая кожа, только лучше — они созданы, чтобы служить вам.
Боковой карман на молнии — это маленький, но важный штрих, который делает эти брюки незаменимыми. Он достаточно вместителен, чтобы хранить ключи, телефон или другие необходимые мелочи, и при этом надежно защищает их. Молния добавляет уверенности: всё ваше остается на месте, где бы вы ни находились. Этот карман — не просто деталь, это символ того, что каждая функция продумана с заботой о вас.
Ткань этих брюк сочетает в себе прочность и комфорт. Она мягкая, но устойчивая, готовая выдержать любые испытания. Будь то внезапный порыв ветра или активные движения, брюки остаются верными вам, не теряя формы и не создавая дискомфорта.
С первого взгляда Under Armour Unstoppable Cargo Pant кажутся минималистичными, но именно в этой простоте кроется их сила. Никаких лишних деталей, только чистый дизайн, который говорит сам за себя. Это выбор тех, кто предпочитает стиль, который не кричит, а действует. Они универсальны: подходят как для повседневной жизни, так и для активного отдыха.
Эти брюки — больше, чем одежда. Это свобода передвижения, уверенность в каждом шаге и забота о деталях. Unstoppable Cargo Pant — это выбор тех, кто живет активно, ценит комфорт и не боится быть собой. Наденьте их, и вы поймете: иногда самые простые решения становятся самыми значимыми.
Это брюки, которые говорят о вас: вы человек действия, готовый к любым вызовам.</t>
  </si>
  <si>
    <t>1390256-014</t>
  </si>
  <si>
    <t>1390256-466</t>
  </si>
  <si>
    <t>UA Best Track Pant</t>
  </si>
  <si>
    <t>1390288-014</t>
  </si>
  <si>
    <t>Каждому нужен спортивный костюм. И точка. Он сохраняет мышцы разогретыми и готовыми к движению. Текстурированная ткань легкая и прочная.
- Технология UA Storm отталкивает воду, не снижая воздухопроницаемости  
- Ткань с текстурой по всей поверхности — легкая и прочная  
- Эластичный пояс с кулиской снаружи  
- Открытые карманы для рук и застёгивающийся карман сзади на кнопках  
- Молнии на щиколотках для удобства надевания и снятия</t>
  </si>
  <si>
    <t>100% нейлон</t>
  </si>
  <si>
    <t>UA Unstoppable Wvn Parachute</t>
  </si>
  <si>
    <t>6000276-001</t>
  </si>
  <si>
    <t>Женские спортивные брюки в стиле «parachute» из легкой и прочной ткани рипстоп для активного образа жизни. Обеспечивают свободу движений и современный расслабленный силуэт.
Встроенный эластичный пояс с внешней регулировкой с помощью шнурка-резинки
Открытые карманы для рук
Широкие штанины, свободная посадка и ощущение комфорта
Низ: регулировка по нижнему краю с помощью эластичной резинки для различных вариантов ношения
Цвет: чёрный (Black)
Детали: фирменный логотип Under Armour
Идеальны для тренировок, прогулок и повседневного спортивного стиля — легко сочетаются с футболками, худи и кроссовками.</t>
  </si>
  <si>
    <t>6000276-251</t>
  </si>
  <si>
    <t>Женские спортивные брюки в стиле «parachute» из легкой и прочной ткани рипстоп для активного образа жизни. Обеспечивают свободу движений и современный расслабленный силуэт.
Встроенный эластичный пояс с внешней регулировкой с помощью шнурка-резинки
Открытые карманы для рук
Широкие штанины, свободная посадка и ощущение комфорта
Низ: регулировка по нижнему краю с помощью эластичной резинки для различных вариантов ношения
Детали: фирменный логотип Under Armour
Идеальны для тренировок, прогулок и повседневного спортивного стиля — легко сочетаются с футболками, худи и кроссовками.</t>
  </si>
  <si>
    <t>6000646-299</t>
  </si>
  <si>
    <t>UA Vanish Seamless Legging — женские бесшовные тайтсы Under Armour для фитнеса и тренировок.
Высокотехнологичные компрессионные тайтсы Under Armour UA Vanish Seamless — идеальный выбор для занятий фитнесом, йогой и силовых тренировок. Бесшовная конструкция полностью исключает натирание и обеспечивает ощущение второй кожи.
Ткань из 92% нейлона и 8% эластана отличается невероятной мягкостью, превосходной эластичностью и быстрым отведением влаги. Технология HeatGear® поддерживает комфортный температурный режим во время интенсивных нагрузок. Широкий эластичный пояс надежно фиксирует тайтсы на месте. Бесшовные тайтсы Under Armour — это сочетание стиля и функциональности для активных женщин.
Материал: 92% нейлон, 8% эластан.</t>
  </si>
  <si>
    <t>92% нейлон, 8% эластан</t>
  </si>
  <si>
    <t>UA HG Rib Legging</t>
  </si>
  <si>
    <t>6003983-673</t>
  </si>
  <si>
    <t>Under Armour UA Fly Fast 6" Short — лёгкие и функциональные шорты, созданные для бега и интенсивных тренировок. Быстросохнущий материал эффективно отводит влагу, а эластичная ткань с 4-сторонней растяжимостью обеспечивает полную свободу движений. Удобный пояс со шнурком гарантирует надёжную посадку, а длина 6 дюймов делает модель комфортной и универсальной для любых спортивных нагрузок. Идеальный выбор для максимального комфорта во время тренировки.</t>
  </si>
  <si>
    <t>UA M Challenger Training Pnt</t>
  </si>
  <si>
    <t>6004044-001</t>
  </si>
  <si>
    <t>Футбол</t>
  </si>
  <si>
    <t>В коллекции UA Challenger вы найдете всю необходимую футбольную экипировку. Эти брюки созданы для того, чтобы вы оставались легкими и чувствовали себя быстро на поле.
Детали:
Гладкая, эластичная ткань очень легкая и обеспечивает свободу движений.
Материал, растягивающийся в 4 направлениях, обеспечивает лучшую свободу движений.
Материал отводит пот и очень быстро сохнет.
Эластичный пояс с внутренним шнурком.
Открытые боковые карманы.
Молнии на щиколотках для удобного надевания и снимания, даже поверх бутс.</t>
  </si>
  <si>
    <t>UA Tech Utility Woven Pant</t>
  </si>
  <si>
    <t>6004966-003</t>
  </si>
  <si>
    <t>UA Tech™ — наша оригинальная универсальная экипировка для тренировок. Эти брюки выполнены из лёгкой, сверхпрочной тканой материи с водоотталкивающим покрытием и оснащены надёжными карманами, чтобы вы могли справиться с любыми задачами.
Особенности:
🔹 Технология UA Storm — отталкивает воду, не жертвуя воздухопроницаемостью
🔹 Лёгкая стретч-ткань — обеспечивает превосходный комфорт и износостойкость
🔹 Материал с 4-сторонней эластичностью — свободно двигается вместе с вами в любом направлении
🔹 Обработанный эластичный пояс со внутренним шнурком-утяжкой для идеальной посадки
🔹 Надёжные карманы:
Карманы для рук на молнии
Задний карман
Грузовые карманы с клапаном на застёжке
🔹 Обработанные эластичные манжеты на штанинах
🔹 Светоотражающие элементы для видимости в условиях слабой освещённости
Идеальный выбор для интенсивных тренировок в любых погодных условиях.</t>
  </si>
  <si>
    <t>UA Brawler 3.0 Tapered Pant</t>
  </si>
  <si>
    <t>6004997-001</t>
  </si>
  <si>
    <t>Это ваши новые любимые тренировочные штаны практически на все случаи жизни — они легкие, удобные и имеют зауженный крой для аккуратного вида.
Гладкая трикотажная внешняя сторона и начес внутри для мягкости, комфорта и тепла.
Материал отводит влагу и очень быстро сохнет.
Пояс на резинке с внешним шнурком.
Карманы для рук.</t>
  </si>
  <si>
    <t>6004997-011</t>
  </si>
  <si>
    <t>UA M Ch. Pro Pant</t>
  </si>
  <si>
    <t>6005131-008</t>
  </si>
  <si>
    <t>Коллекция UA Challenger включает всю необходимую экипировку для футбола. Эти штаны созданы, чтобы вы оставались лёгкими и чувствовали себя быстро на поле.
• Ткань UA Microthread сохнет быстрее, не прилипает к телу, не вызывает натирания и растягивается, не впитывая пот
• Материал с 4-сторонней растяжкой обеспечивает свободу движений в любом направлении
• Ткань эффективно отводит влагу и очень быстро сохнет
• Жаккардовые вставки для дополнительной воздухопроницаемости
• Эластичный пояс с противоскользящим покрытием и внутренним шнурком для надёжной и комфортной посадки
• Защищённый карман на молнии с правой стороны</t>
  </si>
  <si>
    <t>6005131-410</t>
  </si>
  <si>
    <t>UA Icon Heavy Rib Jogger</t>
  </si>
  <si>
    <t>6005696-418</t>
  </si>
  <si>
    <t>UA Icon Fleece — чистый, объёмный крой, который одинаково стильно смотрится как с тренировочной экипировкой, так и с повседневной одеждой. Эти плотные джоггеры с ребристыми вставками созданы для самых холодных дней: невероятно тёплые, уютные и при этом функциональные.
🔹 Исключительно мягкий плотный футер из хлопкового смесового полотна с начёсом изнутри — для дополнительного тепла и максимального комфорта
🔹 Эластичный пояс в чехле с внутренним шнурком — надёжная, но мягкая фиксация по талии
🔹 Открытые карманы для рук + надёжный задний карман на кнопке — безопасно храните мелочи даже в движении
🔹 Свободный, объёмный крой + ребристые манжеты — комфорт без ограничений, при этом джоггеры хорошо держат форму и не сползают
Зима наступает — а вы встречаете её уверенно.
UA Icon Fleece. Тепло с характером. Стиль без компромиссов.</t>
  </si>
  <si>
    <t>UA BCL Storm Pant</t>
  </si>
  <si>
    <t>6005899-026</t>
  </si>
  <si>
    <t>Когда погода не хочет подстраиваться под ваш график пробежек, наденьте водонепроницаемые штаны, которые при этом невероятно легкие и дышащие. Это значит, что вы сможете бегать, не беспокоясь о прогнозе погоды.
Технология UA Storm отталкивает воду, не снижая воздухопроницаемости.
Легкая эластичная тканая ткань обеспечивает превосходный комфорт и долговечность.
Вытачки на коленях для дополнительной свободы движений.
Эластичный пояс с внутренним шнурком.
Открытые карманы для рук с внутренним карманом для гаджетов.
Молнии на лодыжках для удобного надевания и снимания.
Светоотражающие элементы для пробежек в условиях недостаточной освещенности.</t>
  </si>
  <si>
    <t>серый/зеленый</t>
  </si>
  <si>
    <t>UA Tech WM Tape Legging</t>
  </si>
  <si>
    <t>6006027-338</t>
  </si>
  <si>
    <t>Эластичная ткань с технологией HeatGear® — эффективно отводит влагу, сохраняя ощущение прохлады и сухости во время интенсивных тренировок
🔹 Завышенная посадка по талии — обеспечивает надёжную фиксацию и комфортную поддержку в области живота
🔹 Контрастные боковые вставки — добавляют стильный акцент и дополнительную поддержку мышц
🔹 Облегающий крой — повторяет контуры тела, не сковывая движений
🔹 Логотип Under Armour на боку — узнаваемый фирменный знак бренда</t>
  </si>
  <si>
    <t>UA Unstoppable Rstop Cargo</t>
  </si>
  <si>
    <t>6007025-001</t>
  </si>
  <si>
    <t>Женские брюки Under Armour UA Unstoppable Ripstop Cargo сочетают стиль, функциональность и комфорт.
Особенности:
Лёгкий и прочный материал с технологией Ripstop защищает от разрывов и износа.
Водоотталкивающая пропитка помогает оставаться сухой в непогоду.
Эластичная ткань 4-way stretch обеспечивает свободу движений.
Удобный пояс с утяжкой и объёмные карманы-карго для практичности.
Современный свободный крой и универсальный чёрный цвет.
Назначение:
Идеальны для активного отдыха, прогулок и повседневного стиля.</t>
  </si>
  <si>
    <t>93% нейлон, 7% эластан</t>
  </si>
  <si>
    <t>6007025-110</t>
  </si>
  <si>
    <t>Женские брюки Under Armour UA Unstoppable Ripstop Cargo сочетают стиль, функциональность и комфорт.
Особенности:
Лёгкий и прочный материал с технологией Ripstop защищает от разрывов и износа.
Водоотталкивающая пропитка помогает оставаться сухой в непогоду.
Эластичная ткань 4-way stretch обеспечивает свободу движений.
Удобный пояс с утяжкой и объёмные карманы-карго для практичности.
Современный свободный крой и универсальный  цвет.
Назначение:
Идеальны для активного отдыха, прогулок и повседневного стиля.</t>
  </si>
  <si>
    <t>6009318-011</t>
  </si>
  <si>
    <t>6009318-425</t>
  </si>
  <si>
    <t>UA Icon Wvn Track Jogger</t>
  </si>
  <si>
    <t>6009662-919</t>
  </si>
  <si>
    <t>Это идеальные спортивные брюки для поддержания мышц в тонусе — для любых видов спорта и тренировок. Они лёгкие, водостойкие и удобны для многослойной носки или компактной упаковки, когда вы переходите к активным действиям.
Технология UA Storm отталкивает воду, не жертвуя воздухопроницаемостью
Тканая основа с текстурой «кринкл» по всей поверхности: лёгкая и прочная
Скрытый эластичный пояс со внутренним шнурком для регулировки
Открытые боковые карманы и надёжный задний карман на молнии
Эластичные манжеты с укреплённой окантовкой
Используется водоотталкивающая пропитка без содержания фтора</t>
  </si>
  <si>
    <t>100% нейлон</t>
  </si>
  <si>
    <t>Luna Wvn Utility Pant</t>
  </si>
  <si>
    <t>6009700-008</t>
  </si>
  <si>
    <t>Эти брюки созданы с упором на функциональность. Они выполнены из нашей самой технологичной тканой материи, которая отталкивает воду и обладает невероятной прочностью. Кроме того, предусмотрены надёжные карманы для хранения вещей и регулируемые манжеты.
Сверхпрочная тканая основа рипстоп с блестящим финишем: лёгкая и комфортная
Скрытый эластичный пояс с функциональной гульфикой и застёжкой на кнопку
Надёжные боковые карманы на молнии, открытые задние карманы и грузовой карман на кнопке
Регулировка на шнурке по нижнему краю для индивидуальной посадки и стильного вида
Свободный крой по всей длине с плоской передней частью (flat front)</t>
  </si>
  <si>
    <t>6009975-466</t>
  </si>
  <si>
    <t>UA HeatGear Legging</t>
  </si>
  <si>
    <t>6010002-019</t>
  </si>
  <si>
    <t>Наслаждайтесь невероятным комфортом и высокой производительностью с женскими леггинсами HeatGear. Созданные для тех, кто ценит и стиль, и функциональность, эти леггинсы станут идеальным спутником для активной жизни. Облегающий крой обеспечивает плавный силуэт и приятные ощущения при движении.
Материал: Изготовлены из премиальной смеси полиэстера и эластана для долговечности и эластичности.
Технологии:
HeatGear®: Помогает сохранять прохладу и сухость в тёплую погоду
4-сторонняя растяжка: Обеспечивает свободу движений в любом направлении
Управление влагоотведением: Отводит пот от тела, помогая оставаться сухой и лёгкой
Защита от запаха: Предотвращает рост бактерий, вызывающих неприятные ароматы
Идеально подходят для: Футбола и бега — обеспечивают поддержку и комфорт во время тренировок.
Сезон: Подходят для любого времени года, что делает их универсальным элементом вашего гардероба.
Особенности посадки: Плотное прилегание для обтекаемого внешнего вида и ощущения свободы движений.</t>
  </si>
  <si>
    <t>6010002-338</t>
  </si>
  <si>
    <t>UA HeatGear Mesh Legging</t>
  </si>
  <si>
    <t>6010009-600</t>
  </si>
  <si>
    <t>Тренировочные леггинсы Under Armour HeatGear Mesh оснащены технологией HeatGear, которая эффективно отводит влагу от поверхности кожи. Это поддерживает оптимальную температуру тела даже при интенсивных нагрузках. Воздухопроницаемость материала повышает комфорт при носке, позволяя пользователю полностью сосредоточиться на тренировке. Эти свойства делают леггинсы идеальным решением для круглогодичного использования.
Функциональные карманы
Тренировочные леггинсы Under Armour HeatGear Mesh имеют практичные карманы, позволяющие хранить небольшие вещи во время активности. Такое решение обеспечивает безопасное хранение ключей, карт или телефона, что повышает удобство во время тренировок. В результате пользователь может полностью сосредоточиться на достижении спортивных целей, не беспокоясь о личных вещах.
Тренировочные леггинсы Under Armour HeatGear Mesh — особенности:
Длинные штанины, обеспечивающие полное покрытие ног;
Карманы для хранения небольших вещей;
Дышащий материал, поддерживающий термический комфорт;
Быстросохнущая ткань из полиэстера и эластана;
Технология HeatGear, отводящая влагу от кожи.</t>
  </si>
  <si>
    <t>Sport Terry Trend Pant</t>
  </si>
  <si>
    <t>6010916-014</t>
  </si>
  <si>
    <t>Этот лёгкий французский терри обладает мягкой фактурой флиса, но без излишнего тепла начёсанного материала. Благодаря этому он идеально подходит для прохладных летних вечеров или утренних тренировок.
Лёгкая ткань французского терри обеспечивает превосходный комфорт и воздухопроницаемость
Ткань с растяжением в 4 направлениях обеспечивает свободу движений в любом направлении
Скрытый эластичный пояс с внешним шнурком для регулировки
Открытые боковые карманы
Свободный крой по всей длине с декоративной складкой спереди (pintuck) для стильного, утончённого вида</t>
  </si>
  <si>
    <t>96% хлопок, 4% эластан</t>
  </si>
  <si>
    <t>UA Tech Sport Pant</t>
  </si>
  <si>
    <t>6011268-025</t>
  </si>
  <si>
    <t>Luna Wvn Jogger</t>
  </si>
  <si>
    <t>6011400-008</t>
  </si>
  <si>
    <t>Всегда на высоте — эти джоггеры выполнены из нашей самой технологичной плетёной ткани, которая отталкивает воду, растягивается, когда это нужно, и обладает невероятной прочностью. Поэтому, выходя на улицу, вы можете делать это с уверенностью.
Основные особенности:
Водонепроницаемый материал: защищает от влаги, не жертвуя воздухопроницаемостью
Стретч-ткань плотного плетения: лёгкая, прочная и движется вместе с вами
Эластичный пояс в кулиске с внутренним шнурком для регулировки посадки
Открытые боковые карманы для рук и задний карман для мелочей
Эластичные манжеты внизу штанин в кулиске для надёжной фиксации и стильного силуэта</t>
  </si>
  <si>
    <t>95% нейлон, 5% эластан</t>
  </si>
  <si>
    <t>6011400-110</t>
  </si>
  <si>
    <t>Rival Fleece Script Pt</t>
  </si>
  <si>
    <t>6012293-011</t>
  </si>
  <si>
    <t>Женские брюки Under Armour Rival Fleece Script PT созданы для комфорта в прохладную погоду. Мягкий флисовый материал с начесом внутри хорошо сохраняет тепло и обеспечивает приятные ощущения при носке. Свободный крой не ограничивает движения, а эластичный пояс с регулируемым шнурком помогает подобрать оптимальную посадку.
Практичный дизайн делает модель отличным выбором для тренировок, прогулок и повседневного гардероба.
Особенности:
Мягкий флисовый материал с теплой внутренней поверхностью.
Свободный комфортный крой.
Эластичный пояс со шнурком для регулировки посадки.
Боковые карманы для мелочей.
Эластичные манжеты внизу брючин.
Подходят для спорта и повседневной носки.</t>
  </si>
  <si>
    <t>6012636-870</t>
  </si>
  <si>
    <t>Meridian Novelty Ankle Leg</t>
  </si>
  <si>
    <t>6012792-712</t>
  </si>
  <si>
    <t>Женские тайтсы Under Armour Meridian Novelty Ankle Leg — идеальный выбор для тех, кто ценит комфорт и функциональность.
Эти тайтсы созданы для интенсивных тренировок и повседневной активности: они не сковывают движения и поддерживают оптимальный микроклимат тела. В основе модели — продвинутая ткань из 79 % полиэстера и 21 % эластана: она тянется в четырёх направлениях, точно повторяет контуры фигуры и при этом остаётся невероятно мягкой.
Эффективный влагоотвод. Технология HeatGear быстро отводит пот от кожи и ускоряет высыхание ткани — вы остаётесь сухими даже при максимальной нагрузке.
Комфорт без компромиссов. Волокно LYCRA ADAPTIV сохраняет эластичность и мягкость даже при сильном растяжении, а эргономичные плоские швы исключают натирание.
Надёжная посадка. Высокий пояс с уплотнённой подкладкой плотно фиксирует тайтсы, не сдавливая живот — они не сползают во время прыжков, бега или сложных упражнений.
Гигиеничность. Встроенная технология контроля запаха (anti‑odor) препятствует размножению бактерий и появлению неприятного аромата — можно смело надевать тайтсы на несколько тренировок подряд.
Продуманная эргономика. Обновлённая конструкция ластовицы снижает трение и повышает удобство при любых амплитудах движений.
Стильный акцент. Контрастная отстрочка добавляет модели выразительности и подчёркивает спортивный характер дизайна.
Тайтсы отлично подойдут для бега, фитнеса, кроссфита, йоги и других видов активности, а также станут удобной базой для городских образов в спортивном стиле.</t>
  </si>
  <si>
    <t>UA Rival LW Graphic Jogger</t>
  </si>
  <si>
    <t>6014688-338</t>
  </si>
  <si>
    <t>Тренировочные брюки Under Armour UA Rival черного цвета — идеальный выбор для повседневной носки и отдыха. Дизайн в стиле джоггеров обеспечивает комфорт и стиль, а эластичные манжеты на щиколотках гарантируют посадку по фигуре и свободу движений. Эти брюки прекрасно подходят для занятий как в помещении, так и на открытом воздухе, полностью отвечая вашим потребностям в комфорте и современном внешнем виде.</t>
  </si>
  <si>
    <t>CGI Balaclava</t>
  </si>
  <si>
    <t>1365985-001</t>
  </si>
  <si>
    <t>Балаклава</t>
  </si>
  <si>
    <t>Аксессуары</t>
  </si>
  <si>
    <t>Головные уборы</t>
  </si>
  <si>
    <t>Унисекс</t>
  </si>
  <si>
    <t>Балаклава Men ColdGear Balaclava от Under Armour — это незаменимый аксессуар для холодной погоды, который сочетает тепло и комфорт. Изготовлена из 100% полиэстера, она оснащена технологией ColdGear для максимального сохранения тепла. Эта модель обеспечивает полное покрытие лица и может быть преобразована в снуд для шеи. Рекомендуется машинная стирка при 30 градусах.
- Флисовый материал обеспечивает мягкость и комфорт при контакте с кожей, что делает балаклаву идеальной для зимних условий и длительного ношения.
- Инфракрасная технология ColdGear помогает сохранять естественное тепло тела, обеспечивая обогрев даже при низких температурах.
- Вариативный дизайн позволяет использовать изделие как полный лицевой покров или трансформировать в снуд для шеи, обеспечивая универсальность.
- Боковые кнопки улучшают посадку и защиту ушей от ветра, обеспечивая дополнительный комфорт в холодную погоду.
- Легкий и дышащий материал отводит влагу, сохраняя сухость и предотвращая перегрев при активной деятельности.</t>
  </si>
  <si>
    <t>Tech size</t>
  </si>
  <si>
    <t>OSFM</t>
  </si>
  <si>
    <t>58-60</t>
  </si>
  <si>
    <t>DRIVE BUCKET</t>
  </si>
  <si>
    <t>1383483-103</t>
  </si>
  <si>
    <t>Панама</t>
  </si>
  <si>
    <t>100% хлопок</t>
  </si>
  <si>
    <t>M/L</t>
  </si>
  <si>
    <t>S/M</t>
  </si>
  <si>
    <t>53-55</t>
  </si>
  <si>
    <t>UA Charged Valsetz Mid</t>
  </si>
  <si>
    <t>3027382-251</t>
  </si>
  <si>
    <t>Ботинки</t>
  </si>
  <si>
    <t>Обувь</t>
  </si>
  <si>
    <t>Зимняя обувь</t>
  </si>
  <si>
    <t>Тактика</t>
  </si>
  <si>
    <t>Ботинки UA Charged Valsetz Mid предлагают отличное сочетание прочности, комфорта и инновационных технологий. Эти ботинки средней высоты созданы для максимальной поддержки и защиты в сложных условиях. Верх из прочного синтетического материала и текстиля обеспечивает отличную износостойкость и долгий срок службы. Технология Charged Cushioning® в межподошве дарит превосходную амортизацию и энергоотдачу, снижая усталость при длительном ношении. Резиновая подошва с глубоким протектором гарантирует надежное сцепление с различными поверхностями, что обеспечивает уверенность в каждом шаге. Эти ботинки идеальны для активного отдыха и профессионального использования, предоставляя комфорт и защиту на весь день.</t>
  </si>
  <si>
    <t>верх: текстиль, иск.кожа; подкладка: текстиль; подошва: резина</t>
  </si>
  <si>
    <t>7</t>
  </si>
  <si>
    <t>7,5</t>
  </si>
  <si>
    <t>8</t>
  </si>
  <si>
    <t>8,5</t>
  </si>
  <si>
    <t>9</t>
  </si>
  <si>
    <t>9,5</t>
  </si>
  <si>
    <t>10</t>
  </si>
  <si>
    <t>10,5</t>
  </si>
  <si>
    <t>11</t>
  </si>
  <si>
    <t>11,5</t>
  </si>
  <si>
    <t>12</t>
  </si>
  <si>
    <t>UA Micro G Valsetz</t>
  </si>
  <si>
    <t>3023743-001</t>
  </si>
  <si>
    <t>Легкий верх из синтетической кожи и текстиля, прочный и дышащий.
Сварная накладка в передней части стопы и формованный носок из ТПУ для дополнительной защиты.
Петли на пятке и язычке для легкого надевания и снятия.
Формованные стельки Insite® Contoura®, предотвращающие усталость, с амортизирующей пеной.
Межподошва из пеноматериала Micro G® во всю длину обеспечивает максимальную долговечную и отзывчивую амортизацию.
Противоскользящая резиновая подошва с выступами для улучшенного сцепления с различными поверхностями.</t>
  </si>
  <si>
    <t>UA Micro G. Технология беговых кроссовок, которая превращает амортизированный удар во взрывной толчок. Пена UA Micro G легче и тоньше, чем обычная, что повышает эффективность тренировки благодаря адаптивности и постоянному контролю движений, обеспечивая комфорт и стабильность.</t>
  </si>
  <si>
    <t>верх 52% текстиль, 48% синтетический материал, подошва резина</t>
  </si>
  <si>
    <t>W Iso-chill Launch Adj</t>
  </si>
  <si>
    <t>1383478-100</t>
  </si>
  <si>
    <t>Кепка</t>
  </si>
  <si>
    <t>Кепки</t>
  </si>
  <si>
    <t>Отправляйтесь покорять свои ежедневные цели с невероятной прохладой и комфортом в новой бейсболке UA W Iso-Chill Launch Adj. Смелый дизайн и передовые технологии делают эту бейсболку идеальным аксессуаром для тех, кто стремится оставаться впереди темпа активного лета. Уникальная ткань Iso-Chill от Under Armour быстро отводит тепло от вашего тела, создавая ощущение прохлады на коже, даже когда температура окружающей среды зашкаливает. Материал бейсболки обладает выдающейся дышащей способностью, благодаря чему голова остается сухой даже во время интенсивных тренировок или долгих прогулок под жарким солнцем. Облачитесь в бейсболку UA W Iso-Chill Launch Adj и ощутите прохладу и уверенность в любой ситуации. Этот стильный и функциональный аксессуар позволит вам с головой окунуться в ритм активного лета и оставаться прохладным во время любого приключения!</t>
  </si>
  <si>
    <t>UA Iso-Chill. Экипировка для тренировок в жаркую погоду. Работает как система охлаждения - охлаждает тело, позволяя тренироваться дольше. Плоские нейлоновые волокна ткани с двуокисью титана прилегают к коже и отводят тепло лучше, чем обычный нейлон.</t>
  </si>
  <si>
    <t>M Drive 5 Panel Snapback</t>
  </si>
  <si>
    <t>1389890-305</t>
  </si>
  <si>
    <t>Защита от солнца с технологией UPF и поддержание сухости и прохлады головы — всё, что вам нужно для трассы.
ДНК продукта:
Ткань с добавлением стрейча и защитой UPF 50+ защищает кожу от вредного воздействия ультрафиолетовых лучей
Регулируемая застёжка на кнопках
Декоративный шнур по краю козырька</t>
  </si>
  <si>
    <t>W BLITZING LOW ADJ</t>
  </si>
  <si>
    <t>6009335-600</t>
  </si>
  <si>
    <t>Эта кепка не только защищает от солнца — атласная потогоночная лента приятна на ощупь и помогает снизить ломкость волос.
Основные особенности:
UA Low: Классическая бейсболка с низкой посадкой и неструктурированной передней панелью — плотно прилегает к голове
Дышащая трикотажная ткань невероятно мягкая, обеспечивая комфорт в течение всего дня
Атласная потогоночная лента уменьшает трение, раздражение и ломкость волос
Тонкая регулируемая застежка на текстильной ленте
Увеличенное отверстие сзади позволяет удобно носить кепку с разными причёсками</t>
  </si>
  <si>
    <t>UA CGI Down Jkt-BLK</t>
  </si>
  <si>
    <t>1375442-001</t>
  </si>
  <si>
    <t>Пуховик</t>
  </si>
  <si>
    <t>Куртки и пуховики</t>
  </si>
  <si>
    <t>Ветро-влагозащитный, теплый материал
Утеплитель: 100% утиный пух
Технология UA Storm - защищает от непогоды, отталкивает воду при этом не жертвуя воздухопроницаемостью
Технология ColdGear Infrared - это усовершенствованная технология ColdGear, оригинальный метод нанесения струйной печатью слоя керамики на внутреннюю поверхность тонких двухслойных изделий, позволяет быстрее прогревать воздушный слой под одеждой и дольше оставаться телу в тепле. 
Без увеличения веса и объема экипировки
Боковые карманы на молнии</t>
  </si>
  <si>
    <t>UA ColdGear Infrared. Теплопроводящий внутренний слой для поглощения и сохранения тепла тела.;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</si>
  <si>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UA STRM SESSION HBD JKT</t>
  </si>
  <si>
    <t>1378494-112</t>
  </si>
  <si>
    <t>Куртка</t>
  </si>
  <si>
    <t>UA Storm сохраняет вас сухим, легкий утеплитель сохраняет тепло, а эластичные боковые панели и панели под мышками позволяют вам двигаться — это все, что вам нужно, чтобы оставаться на улице, когда погода меняется.Технология Under Armour Storm отталкивает воду и сохраняет воздухопроницаемость. Прочный тканый материал спереди, поддерживаемый гибкими ткаными боковыми поверхностями, обеспечивает большую мобильность и комфорт. Регулируемый эластичный капюшон обеспечивает идеальную посадку одежды по форме тела. Карманы для рук, защищенные молниями, и внутренний нагрудный карман.</t>
  </si>
  <si>
    <t>белый/черный</t>
  </si>
  <si>
    <t>LEGEND DOWN HOODED JACKET</t>
  </si>
  <si>
    <t>1385837-390</t>
  </si>
  <si>
    <t>Куртка LEGEND DOWN HOODED JACKET – лучший выбор для холодного сезона, предлагая безупречный баланс тепла, защиты и стиля. В её основе лежит высококачественный нейлон, обеспечивающий лёгкость и долговечность. Стильный, спортивный дизайн идеально подходит для повседневной носки, не теряя актуальности вне зависимости от трендов.
- Пуховая изоляция обеспечивает исключительное тепло, удерживая комфортную температуру даже в сильные морозы.
- 100% нейлоновый материал гарантирует прочность и длительное сохранение формы, защищая от ветра и влаги.
- Эргономичный капюшон добавляет дополнительное тепло и защиту, обеспечивая полный комфорт в неблагоприятных условиях.
- Легкая и компактная конструкция позволяет свободно двигаться и носить куртку как в городских, так и в туристических условиях.
- Внутренние и внешние карманы обеспечивают удобное хранение вещей, всегда держа их под рукой.</t>
  </si>
  <si>
    <t>зеленый/черный</t>
  </si>
  <si>
    <t>UA STRM INS RUN VEST</t>
  </si>
  <si>
    <t>1380870-001</t>
  </si>
  <si>
    <t>Жилет</t>
  </si>
  <si>
    <t>Мужской жилет UA Storm Insulate Run Vest — это баланс между теплом и вентиляцией для комфортной пробежки. Сделанный из 100% полиэстера, он оснащен передовой технологией UA Storm для защиты от осадков без ущерба для воздухопроницаемости. Качественная ткань и эластичный трикотаж обеспечивают свободу движений, подходя для интенсивных упражнений.
- Утепленная передняя часть удерживает тепло, обеспечивая комфорт в прохладные утренние часы или дни.
- Вентиляционные элементы препятствуют перегреву, поддерживая оптимальную циркуляцию воздуха во время активности.
- Надежные карманы на молнии идеально подходят для хранения мелких предметов, оставляя руки свободными во время движения.
- Встроенный внутренний карман для медиа позволяет удобно носить с собой устройства и аксессуары.
- Светоотражающие детали повышают видимость в темноте, обеспечивая безопасность на дорожках и трассах.</t>
  </si>
  <si>
    <t>UA CGI DOWN VST</t>
  </si>
  <si>
    <t>1378837-001</t>
  </si>
  <si>
    <t>Пуховый жилет Under Armour CGI Down Vest обеспечивает максимальный комфорт даже в холодное время года. Наполнитель из утиного пуха и технология ColdGear® Infrared хорошо удерживают тепло тела, чтобы Вы не мерзли даже в сильный мороз.
Состав: Верх -100% полиэстер; Наполнитель - пух, гусиный пух
Технология UA Storm отталкивает воду без ущерба для воздухопроницаемости
Технология COLD GEAR Infrared Нанесение керамического принта методом струйной печати на внутреннюю поверхность двухслойного или многослойного изделия, что позволяет быстрее прогревать воздушный слой под одеждой и дольше оставаться телу в тепле без увеличения веса и объема экипировки
Нагрудные карманы на молнии
Боковые карманы</t>
  </si>
  <si>
    <t>1385837-002</t>
  </si>
  <si>
    <t>Armour Down 2.0 Parka-BLK</t>
  </si>
  <si>
    <t>1372649-001</t>
  </si>
  <si>
    <t>Абсолютная защита от холода с паркой Armour Down 2.0 Parka. Забудьте о зимней стуже и насладитесь комфортом в самых холодных условиях. У нас представлено все, что вам нужно для тепла и стиля в одной парке.
Наша парка создана с использованием самых передовых технологий и материалов, чтобы обеспечить вам максимальную защиту. Изготовленная из прочных тканей и наполнена уникальным дизайном пухового наполнителя, парка Armour Down 2.0 Parka не пропускает холод, сохраняя ваше тело в комфортном и теплом состоянии.
Особенная водоотталкивающая обработка придает парке дополнительную надежность во время дождя или снега, позволяя вам наслаждаться природой без дискомфорта. Прорезиненные молнии и манжеты обеспечивают защиту от ветра, предотвращая проникновение холода и снижение температуры внутри парки.
Armour Down 2.0 Parka не только функциональна, но и стильна. Современный дизайн придает парке элегантность и позволяет вам выглядеть модно и уверенно в любой ситуации. Благодаря разнообразию цветовых решений, вы можете выбрать парку, которая отражает вашу индивидуальность.
Защитите себя от холодных зимних ветров с паркой Armour Down 2.0 Parka. Вы заслуживаете только самое лучшее!</t>
  </si>
  <si>
    <t>PJT RCK WORK JACKET</t>
  </si>
  <si>
    <t>1386904-707</t>
  </si>
  <si>
    <t>Мужская куртка Under Armour Pjt Rck Work Jacket — это идеальное сочетание стиля, комфорта и функциональности для современных активных мужчин. Созданная специально для использования в различных погодных условиях, она оснащена капюшоном, обеспечивающим дополнительную защиту от ветра и дождя. Застежка на молнии позволяет легко надевать и снимать куртку, а также регулирует уровень вентиляции. Практичные карманы на молнии обеспечивают безопасное хранение мелких предметов и удобный доступ к ним. Функциональный и современный дизайн этой куртки делает её идеальной для повседневной носки, тренировок на свежем воздухе или путешествий. Независимо от условий, эта куртка будет вашим надежным компаньоном, обеспечивающим комфорт и стиль.</t>
  </si>
  <si>
    <t>LEGEND DOWN PARKA</t>
  </si>
  <si>
    <t>1385839-410</t>
  </si>
  <si>
    <t>Парка</t>
  </si>
  <si>
    <t>Куртка LEGEND DOWN PARKA от Under Armour создана для суровых зимних условий, предлагая непревзойденное тепло и защиту. Она сочетает в себе качественную изоляцию и прочный нейлон для обеспечения максимального комфорта и долговечности. Пуховая подкладка гарантирует превосходное удержание тепла, удерживая холод на улице и сохраняет тепло внутри.
- 100% нейлон отличается невероятной прочностью, что делает куртку устойчивой к погодным испытаниям и ежедневному износу.
- Удлиненный крой и продуманный капюшон обеспечивают дополнительную защиту от ветра и снегопада, сохраняя тело в тепле.
- Стильный и функциональный дизайн предоставляет множество вариантов для сочетания с разной одеждой, делая её подходящей для любого случая.
- Водоотталкивающее покрытие защищает от влаги, обеспечивая сухость и комфорт в дождливую или снежную погоду.
- Большое количество карманов добавляет удобства, позволяя хранить личные вещи с легким доступом.</t>
  </si>
  <si>
    <t>1385852-015</t>
  </si>
  <si>
    <t>Limitless Down Puffer Parka</t>
  </si>
  <si>
    <t>1384644-001</t>
  </si>
  <si>
    <t>Практически невесомая технологичная одежда для холодной погоды с мягкой и уютной внешней отделкой — пуховик UA Limitless Down не выглядит как техническая куртка, но работает именно так.
• Технология UA Storm отталкивает влагу, не жертвуя воздухопроницаемостью
• Утеплитель из утиного пуха Allied с показателем 700 fill power обеспечивает экстремальное тепло; пух ответственно получен и прослеживается по специальной метке
• Подкладка ColdGear® Infrared с мягким теплопроводящим покрытием поглощает и сохраняет тепло вашего тела
• Регулируемый капюшон увеличенного размера и особый дизайн воротника для дополнительного тепла и комфорта
• Просторные защищённые карманы для рук на молнии и внутренний нагрудный карман
• Мягкие трикотажные манжеты ColdGear® для повышенного комфорта и удлинённый крой для максимальной защиты тела
• Используется водоотталкивающая пропитка без содержания фтора</t>
  </si>
  <si>
    <t>LIMITLESS DOWN JACKET</t>
  </si>
  <si>
    <t>1384641-308</t>
  </si>
  <si>
    <t>Технология UA Storm отталкивает воду без ущерба для воздухопроницаемости. Утеплитель из утиного пуха 700-fill Allied обеспечивает экстремальное тепло и имеет ответственное происхождение и отслеживается по метке. Инфракрасная подкладка ColdGear® с мягким термопроводящим покрытием поглощает и удерживает тепло вашего тела. Большие надежные карманы для рук на молнии. Внутренние манжеты из мягкого трикотажа ColdGear® для дополнительного комфорта. Подол регулируется, а регулируемый капюшон обеспечивает комфортную посадку</t>
  </si>
  <si>
    <t>UA CG Reactor Jacket</t>
  </si>
  <si>
    <t>1342792-626</t>
  </si>
  <si>
    <t>Куртка с утеплителем ColdGear - идеально подойдет для тренировок в холодную погоду. Утеплитель подстраивается под уровень вашей активности и поддерживает оптимальный температурный режим и вентиляцию. Материал верха с технологией UA Storm отталкивает влагу и защищает от ветра, оставаясь при этом дышащим.</t>
  </si>
  <si>
    <t>UA ColdGear Reactor. Интеллектуальный "изоляционный" слой, который адаптируется к любой активности и поддерживает оптимальную температуру тела.;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</si>
  <si>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бордовый</t>
  </si>
  <si>
    <t>Демисезон</t>
  </si>
  <si>
    <t>основной материал: 100% полиэстер</t>
  </si>
  <si>
    <t>UA Armour Down Parka</t>
  </si>
  <si>
    <t>1342791-001</t>
  </si>
  <si>
    <t>Технология UA Storm отталкивает воду без ущерба для воздухопроницаемости. Утеплитель Allied с утиным пухом на 600 наполнителей обеспечивает исключительное тепло, получен из этичных источников и отслеживается с помощью бирки. Легкая тканая ткань обеспечивает превосходный комфорт и долговечность. Большой капюшон из трех частей с расширенным покрытием шеи и регулируемым шнурком. Застежка-молния спереди с клапаном Storm. Уютная подкладка Velboa на шее и карманах для дополнительного тепла и комфорта. Надежные верхние карманы на молнии и открытые нижние карманы для рук. Увеличенная посадка и увеличенная длина корпуса для полного покрытия.</t>
  </si>
  <si>
    <t>Зима</t>
  </si>
  <si>
    <t>100% нейлон. Наполнитель: гусиный пух.</t>
  </si>
  <si>
    <t>Down Sweater Hooded - WARM Black / Black / Charcoal</t>
  </si>
  <si>
    <t>1323839-001</t>
  </si>
  <si>
    <t>Технология UA Storm - защищает от непогоды, отталкивает воду при этом не жертвуя воздухопроницаемостью. 
Технология Pertex позволяет телу дышать.
Внутренний карман на молнии.
Боковые карманы на молнии.
Наполнитель: 90% пух, 10% перо.</t>
  </si>
  <si>
    <t>Осень</t>
  </si>
  <si>
    <t>100% полиэстер.</t>
  </si>
  <si>
    <t>CGI Down Blocked Jkt</t>
  </si>
  <si>
    <t>1372693-410</t>
  </si>
  <si>
    <t>UA CGI DOWN CRINKLE JKT</t>
  </si>
  <si>
    <t>1378830-001</t>
  </si>
  <si>
    <t>Куртка (пуховик) Under Armour ColdGear Down Blocked Jacket обеспечивает максимальный комфорт даже в холодное время года. Наполнитель из утиного пуха и технология ColdGear® Infrared хорошо удерживают тепло тела, чтобы Вы не мерзли даже в сильный мороз.
Состав: Верх -100% полиэстер; Наполнитель - пух, гусиный пух
Технология UA Storm отталкивает воду без ущерба для воздухопроницаемости
Технология COLD GEAR Infrared Нанесение керамического принта методом струйной печати на внутреннюю поверхность двухслойного или многослойного изделия, что позволяет быстрее прогревать воздушный слой под одеждой и дольше оставаться телу в тепле без увеличения веса и объема экипировки
Нагрудные карманы на молнии
Боковые карманы</t>
  </si>
  <si>
    <t>UA CGI Down Vest-BLK</t>
  </si>
  <si>
    <t>1375456-001</t>
  </si>
  <si>
    <t>UA Launch Insulated Jacket</t>
  </si>
  <si>
    <t>1380868-587</t>
  </si>
  <si>
    <t>Мужская утепленная беговая куртке Under Armour UA Launch Insulated Jacket предназначена  специально для бега, тренировок на открытом воздухе и повседневного ношения в прохладное время года.
Технология UA Storm отталкивает воду, не жертвуя при этом воздухопроницаемостью, сохраняя сухость.
Прочный тканый материал корпуса сочетается с мягкими, эластичными трикотажными вставками на нижней кромке и манжетах для повышенной мобильности и комфорта.Стратегический синтетический утеплитель плотностью 80 г на передней части обеспечивает легкое тепло без лишнего объема.
Дышащие сетчатые вставки под мышками для дополнительной вентиляции.Материал тянется в четырех направлениях.Свободный крой (Loose fit) для полного комфорта.Надежные карманы для рук на молнии с внутренним медиа-карманом.Светоотражающие детали улучшают видимость в условиях низкой освещенности.Состав: 100% полиэстер; вставки: 88% полиэстер/12% эластан. 
На куртке присутствует фирменный логотип Under Armour.</t>
  </si>
  <si>
    <t>Armour Down 2.0 Vest</t>
  </si>
  <si>
    <t>1372650-431</t>
  </si>
  <si>
    <t>Идеальный союз стиля и функциональности – спортивный пуховый жилет Under Armour Armour Down 2.0 Vest. Он создан для комфорта и тепла в холодные дни, позволяя вам наслаждаться активными тренировками и приключениями на свежем воздухе. Высококачественный перонышковый наполнитель обеспечивает превосходную теплоизоляцию, поддерживая оптимальную температуру тела в любых погодных условиях. Удобный крой и легкий вес позволяют свободно двигаться и не ограничивают вашу активность. Защитите себя от ветра и непогоды благодаря водоотталкивающему покрытию, которое также обеспечивает долговечность и долговечность пухового жилета. Подчеркните свой спортивный стиль с помощью элегантного дизайна Under Armour Armour Down 2.0 Vest и готовьтесь к непрерывным достижениям на тренировках и в повседневной жизни.</t>
  </si>
  <si>
    <t>LAUNCH INSULATED VEST</t>
  </si>
  <si>
    <t>1378502-001</t>
  </si>
  <si>
    <t>Защищает вас от дождя и согревает благодаря стратегической изоляции. Технология UA Storm отталкивает воду, не жертвуя воздухопроницаемостью. Стратегический синтетический утеплитель 60 г на передней части тела для легкого тепла без лишнего объема. Надежные карманы на молнии для рук с внутренним карманом для медиа. Светоотражающие детали для лучшей видимости на пробежках при слабом освещении.</t>
  </si>
  <si>
    <t>UA STRM INS JKT</t>
  </si>
  <si>
    <t>1380871-012</t>
  </si>
  <si>
    <t>Ветро-влагозащитный материал
Синтетический утеплитель
Технология UA Storm - защищает от непогоды, отталкивает воду при этом не жертвуя воздухопроницаемостью
Боковые карманы на молнии</t>
  </si>
  <si>
    <t>UA STRM ARMOUR DOWN 2.0 JKT</t>
  </si>
  <si>
    <t>1372651-410</t>
  </si>
  <si>
    <t>Погрузитесь в комфорт и легкость с пуховиком Armour Down 2.0! 
Наша лучшая модель из коллекции пуховиков предлагает утонченный дизайн и непревзойденное качество. Изготовленный из высококачественного пуха, Armour Down 2.0 обеспечивает непревзойденную теплоизоляцию и комфорт, чтобы вы чувствовали себя уютно даже в самые холодные дни.
Стильная и функциональная, эта модель пуховика идеально подходит для любых погодных условий. Капюшон с регулируемыми завязками позволяет создать индивидуальную посадку и защиту от ветра, а мягкая подкладка воротника обеспечивает уют и дополнительное тепло для шеи. 
Armour Down 2.0 также имеет практичные карманы на молнии для хранения ваших ценностей и фирменную марку "Armour" на рукаве, добавляющую неповторимую деталь к этому пуховику.
Не сомневайтесь в качестве - Armour Down 2.0 прошел тщательные испытания и изготовлен с использованием самых современных технологий и материалов. Этот пуховик станет вашим верным спутником на прогулках, отдыхе на природе или в повседневной жизни.
Привнесите стиль, комфорт и тепло в свою жизнь с Armour Down 2.0 - идеальным выбором для модных и активных людей, которые ценят комфорт и качество в одежде.</t>
  </si>
  <si>
    <t>синий/серый</t>
  </si>
  <si>
    <t>UA CGI Down Jkt-WHT</t>
  </si>
  <si>
    <t>1375442-100</t>
  </si>
  <si>
    <t>CGR Jacket Dark Maroon / Dark Maroon / Peach Horizon</t>
  </si>
  <si>
    <t>1316034-601</t>
  </si>
  <si>
    <t>Технология UA Storm отталкивает воду, не жертвуя воздухопроницаемостью
ColdGear® Reactor адаптируется к вашему уровню активности для правильной воздухопроницаемости
Высококачественная изоляция удерживает тепло и обладает превосходной вентиляцией
Стретч-флисовые боковые и подмышчные панели обеспечивают большую мобильность
Теплые, надежные карманные молнии и карманы на груди
Удлиненный крой</t>
  </si>
  <si>
    <t>1372651-012</t>
  </si>
  <si>
    <t>UA Insulate Parka</t>
  </si>
  <si>
    <t>1364910-001</t>
  </si>
  <si>
    <t>Технология UA Storm отталкивает воду без ущерба для воздухопроницаемости. Гладкая ветрозащитная ткань, легкая и чрезвычайно прочная. Синтетический утеплитель для тепла без лишнего объема. Мягкий эластичный трикотаж ColdGear на воротнике и манжетах для дополнительного комфорта и тепла. Надежные карманы на молнии для рук. Удлиненный крой с фигурным краем для максимального прикрытия.</t>
  </si>
  <si>
    <t>UA STRM SESSION HBD LT JKT</t>
  </si>
  <si>
    <t>1378496-011</t>
  </si>
  <si>
    <t>100% полиэстер
Ветро-влагозащитный материал
Синтетический утеплитель, расположенный спереди
Технология UA Storm - защищает от непогоды, отталкивает воду при этом не жертвуя воздухопроницаемостью
Боковые карманы на молнии
Прорези для больших пальцев на рукавах</t>
  </si>
  <si>
    <t>серый/стальной</t>
  </si>
  <si>
    <t>91% полиэстер, 9% эластан</t>
  </si>
  <si>
    <t>UA STRM SESSION RUN VEST</t>
  </si>
  <si>
    <t>1378499-001</t>
  </si>
  <si>
    <t>Жилет Under Armour Strm Session Run Vest — это превосходное сочетание защиты и легкости, созданное для бегунов. Изготовленный из 100% полиэстера, жилет сочетает функции удержания тепла и свободу движения, поддерживая бегуна в разную погоду. Синтетический утеплитель позволяет оставаться в тепле без добавления лишнего объема.
- Технология UA Storm обеспечивает водоотталкивающие свойства, сохраняя воздухопроницаемость для комфортного бега в дождливую погоду.
- Прочная передняя часть корпуса и эластичные плечи обеспечивают не только защиту, но и максимальную свободу движений.
- Надежные карманы на молнии обеспечивают безопасное хранение предметов, включая медиаустройства.
- Светоотражающие детали увеличивают видимость в условиях низкой освещенности, улучшая безопасность на трассе.
- Заниженный фигурный подол добавляет стиль и улучшает посадку жилета для дополнительного комфорта.</t>
  </si>
  <si>
    <t>UA CGI LGHTWGHT DOWN JKT</t>
  </si>
  <si>
    <t>1378840-044</t>
  </si>
  <si>
    <t>Технология ColdGear Infrared поддерживает температуру тела без утяжеления и увеличения объема. Специальный принт на внутренней стороне, который дольше сохраняет тепло, позволяет тренироваться в очень холодную погоду. Технология UA Storm отталкивает воду, не жертвуя воздухопроницаемостью. Утеплитель Allied из утиного пуха плотностью 700 обеспечивает исключительное тепло, производится ответственно и отслеживается по бирке. Подкладка ColdGear Infrared использует мягкое термопроводящее покрытие, которое поглощает и сохраняет тепло вашего тела. Надежные карманы для рук на молнии.</t>
  </si>
  <si>
    <t>серый/синий</t>
  </si>
  <si>
    <t>1384641-001</t>
  </si>
  <si>
    <t>LIMITLESS DOWN VEST</t>
  </si>
  <si>
    <t>1384642-110</t>
  </si>
  <si>
    <t>Мужской жилет, коллекция UA Limitless Down предназначен для тренировок на открытом воздухе, бега и повседневного ношения в прохладную и холодную погоду. Он разработан для обеспечения максимального тепла без лишнего объема.
Водоотталкивающее покрытие отталкивает воду, не жертвуя при этом воздухопроницаемостью, сохраняя сухость и комфорт.
Высококачественный утиный пух плотностью 700-fill Allied обеспечивает экстремальное тепло.Мягкое термопроводящее покрытие внутри подкладки поглощает и сохраняет собственное тепло тела, позволяя дольше оставаться в тепле.Материал: Прочный корпус из 100% нейлона.
Свободный крой (Loose fit) для полного комфорта.Большие защищенные карманы для рук на молнии и внутренний нагрудный карман.
Регулируемый внутренний низ для надежной посадки.На жилете присутствует фирменный логотип Under Armour.</t>
  </si>
  <si>
    <t>1385837-001</t>
  </si>
  <si>
    <t>XLT</t>
  </si>
  <si>
    <t>52-54 удл</t>
  </si>
  <si>
    <t>1385837-299</t>
  </si>
  <si>
    <t>LEGEND DOWN VEST</t>
  </si>
  <si>
    <t>1385838-299</t>
  </si>
  <si>
    <t>Жилет LEGEND DOWN VEST от Under Armour представляет собой идеальное решение для прохладной погоды. Сочетание стильного дизайна и функциональности удовлетворит требования любого активного мужчины, обеспечивая тепло и комфорт при повседневной носке. Пуховая изоляция предлагает исключительное удержание тепла, сохраняя комфорт даже в холодные дни.
- 100% нейлоновая ткань обеспечивает долговечность и стойкость к износу, что гарантирует длительный срок службы жилета.
- Легкая конструкция позволяет легко комбинировать жилет с другими предметами одежды без ограничения подвижности.
- Элегантный и современный дизайн соответствует последним модным тенденциям, делая жилет универсальным для любых ситуаций.
- Комфорт и удобство обеспечиваются за счет мягкой подкладки и эргономичного кроя, которая поддерживает естественную подвижность.
- Практичные карманы дают возможность хранить необходимые мелочи всегда под рукой, добавляя функциональных удобств.</t>
  </si>
  <si>
    <t>1385839-001</t>
  </si>
  <si>
    <t>1385852-001</t>
  </si>
  <si>
    <t>UA M Challenger Pro Jkt</t>
  </si>
  <si>
    <t>6004051-001</t>
  </si>
  <si>
    <t>В коллекции UA Challenger вы найдете всю необходимую футбольную экипировку. Эта куртка создана для того, чтобы вам было тепло и вы были готовы ко всему на поле.
Детали:
Технология UA Storm отталкивает воду, не жертвуя воздухопроницаемостью.
Легкая эластичная ткань обеспечивает превосходный комфорт и долговечность.
Материал отводит пот и очень быстро сохнет.
Эластичный материал, растягивающийся в 4 направлениях, обеспечивает лучшую свободу движений.
Надежные боковые карманы на молнии и открытые нагрудные карманы.
Заниженный, фигурный низ для лучшей защиты спины.</t>
  </si>
  <si>
    <t>97% полиэстер, 3% эластан</t>
  </si>
  <si>
    <t>UA Sportswear Ins Jkt</t>
  </si>
  <si>
    <t>6006363-001</t>
  </si>
  <si>
    <t>Эта лёгкая утеплённая куртка обеспечит вам комфорт и позволит сосредоточиться. Она сохраняет тепло, когда слишком холодно, но при этом дышит, чтобы вы не перегрелись, когда становится жарко.
Детали:
Технология UA Storm отталкивает воду, не жертвуя воздухопроницаемостью.
Лёгкий тканый материал обеспечивает непревзойдённый комфорт и долговечность.
Синтетический утеплитель плотностью 80 г по всей длине обеспечивает лёгкость и тепло, не создавая лишнего объёма.
Надежные карманы для рук на молнии.
Регулируемый капюшон, а также эластичные манжеты и нижний край на резинке обеспечивают надёжную посадку.</t>
  </si>
  <si>
    <t>UA Luna Utility 3in1 Jacket</t>
  </si>
  <si>
    <t>6009688-008</t>
  </si>
  <si>
    <t>Эта куртка «3 в 1» — воплощение функциональности. Она выполнена из нашей самой технологичной ткани, которая отталкивает воду и отличается невероятной износостойкостью. Кроме того, модель оснащена надежными карманами для хранения ваших вещей и допускает множество вариантов ношения.
Детали:
Можно носить по отдельности — как жилет или укороченную куртку, — либо соединить обе части на молнии для максимальной защиты.
Сверхпрочная ткань рипстоп с глянцевым покрытием — легкая и комфортная.
ЖИЛЕТ:
Надежные карманы для рук на кнопках.
УКОРОЧЕННАЯ КУРТКА:
Манжеты и нижний край на скрытой эластичной резинке.</t>
  </si>
  <si>
    <t>100 % нейлон</t>
  </si>
  <si>
    <t>UA PURE STRETCH NO SHOW BIKINI-SOLID 3PK</t>
  </si>
  <si>
    <t>1383897-001</t>
  </si>
  <si>
    <t>Трусы (3 шт)</t>
  </si>
  <si>
    <t>Нижнее белье</t>
  </si>
  <si>
    <t>Ультратонкие женские трусы-бикини с посадкой средней высоты. Бесшовная конструкция и лазерная обработка краёв делают их практически невидимыми под одеждой. Лёгкий и эластичный материал с растяжением в четырёх направлениях обеспечивает комфорт, свободу движений и идеальную посадку. Мягкая хлопковая ластовица и отсутствие ярлыков обеспечивают удобство на весь день. Подходят как для тренировок, так и для повседневной носки.</t>
  </si>
  <si>
    <t>76% полиамида, 24% эластана</t>
  </si>
  <si>
    <t>M UA PERF TECH 6IN</t>
  </si>
  <si>
    <t>1383878-400</t>
  </si>
  <si>
    <t>Боксеры Under Armour UA Performance Tech™ 6" Boxerjock (3 шт.).Предназначены для интенсивных тренировок и активного образа жизни. Они обеспечивают максимальный комфорт и функциональность благодаря легкой, прочной и дышащей ткани, которая сохраняет прохладу. 
 Невероятно легкая, мягкая и прочная ткань с зонами из дышащей сетки для вентиляции там, где это больше всего необходимо. Основная часть состоит как минимум на 90% из переработанного полиэстера и 10% эластана. Материал отводит пот от тела и очень быстро сохнет. Конструкция из ткани, растягивающейся в 4 направлениях, обеспечивает лучшую мобильность в любом направлении. Предотвращает рост вызывающих запах микробов, обеспечивая свежесть. Отсутствие боковых и задних швов для максимального комфорта и предотвращения натирания. Эластичный пояс Performance с металлизированным логотипом, который не скатывается. Длина внутреннего шва 6 дюймов (примерно 15 см). Облегающий крой (Fitted), не слишком тугой и не слишком свободный.Комплектация: Поставляется в комплекте из 3-х штук. 
Эти боксеры сочетают в себе высокую прочность и функциональные свойства спортивной одежды Under Armour, обеспечивая отличную вентиляцию и быстрое высыхание. Покупатели хвалят их за исключительный комфорт, посадку и качество.</t>
  </si>
  <si>
    <t>UA PERFORMANCE COTTON-SOLID</t>
  </si>
  <si>
    <t>1383889-025</t>
  </si>
  <si>
    <t>Трусы Under Armour PERFORMANCE COTTON-SOLID разработаны специально для мужчин, ведущих активный образ жизни и занимающихся спортом. В комплект входят три пары, выполненные из высококачественной комбинации материалов: 57% хлопок, 38% полиэстер и 5% эластан. Эта смесь обеспечивает превосходную прочность и комфорт. Натуральный хлопок обеспечивает мягкость на ощупь, полиэстер активно отводит влагу, поддерживая кожу сухой, а эластан дарит изделию эластичность и отличную посадку. Трусы быстро сохнут и сохраняют форму даже после многократных стирок, что делает их идеальными для ежедневных тренировок и повседневной носки.</t>
  </si>
  <si>
    <t>серый/красный/черный</t>
  </si>
  <si>
    <t>57% хлопок, 38% полиэстер, 5% эластан</t>
  </si>
  <si>
    <t>1383878-035</t>
  </si>
  <si>
    <t>Трусы Under Armour M PERF TECH 6IN — идеальный выбор для мужчин, ищущих комфорт и поддержку во время фитнеса. В комплекте три пары, выполненные из высококачественного материала с составом 90% полиэстера и 10% эластана. Эта комбинация гарантирует эластичность, прочность и отличный отвод влаги, обеспечивая сухость и комфорт в течение всего дня. Эргономичный дизайн и мягкие швы предотвращают натирание, даря полную свободу движений. Средняя длина 6 дюймов обеспечивает оптимальную посадку и поддержку, делая эти трусы идеальными для занятий спортом и активного отдыха.</t>
  </si>
  <si>
    <t>UA PERFORMANCE TECH - SOLID 6" 3PK</t>
  </si>
  <si>
    <t>1383878-044</t>
  </si>
  <si>
    <t>серый/красный/синий</t>
  </si>
  <si>
    <t>1383889-001</t>
  </si>
  <si>
    <t>UA PERF TECH - SOLID 6 IN 3PK</t>
  </si>
  <si>
    <t>1383889-005</t>
  </si>
  <si>
    <t>1383891-025</t>
  </si>
  <si>
    <t>Трусы Under Armour PERFORMANCE COTTON-SOLID, предназначенные для мужчин, идеально подойдут для фитнес-тренировок и активного образа жизни. В набор входят три пары, каждая из которых выполнена из комбинации материалов: 57% хлопок, 38% полиэстер и 5% эластан. Благодаря этому сочетанию они обладают мягкостью, прочностью и высокой эластичностью. Хлопок обеспечивает комфорт и приятные ощущения на коже, полиэстер эффективно отводит влагу, а эластан гарантирует удобную посадку и свободу движений. Эти трусы быстро сохнут и сохраняют свою форму даже после частых стирок, предлагая идеальное сочетание комфорта и функциональности для ежедневного использования и занятий спортом.</t>
  </si>
  <si>
    <t>UA PERFORMANCE TECH MESH - GRAPHIC 6" "ENERGY SINGLES"</t>
  </si>
  <si>
    <t>1388624-290</t>
  </si>
  <si>
    <t>Трусы</t>
  </si>
  <si>
    <t>Невероятно мягкий, дышащий сетчатый материал по всей поверхности изделия для превосходной вентиляции
Эластичный материал с растяжением в 4 направлениях обеспечивает свободу движений в любую сторону
Ткань эффективно отводит влагу и очень быстро сохнет
Функциональный пояс и отсутствие боковых и задних швов для максимального комфорта
Технология контроля запаха снижает появление неприятных запахов в нижнем белье
Удлинённая нижняя кромка лежит ровно и не сдвигается — не закручивается и не поднимается
Формованная гульфик-вставка, декоративная застёжка (не расстёгивается)</t>
  </si>
  <si>
    <t>88% полиэстер, 12% эластан</t>
  </si>
  <si>
    <t>UA PERFORMANCE TECH MESH - GRAPHIC 6" 3PK</t>
  </si>
  <si>
    <t>6011483-001</t>
  </si>
  <si>
    <t>Мужские спортивные трусы-боксеры из мягкой влагоотводящей ткани. Анатомический крой и эластичная поддержка обеспечивают комфорт во время тренировок. Удобная широкая резинка и плоские швы предотвращают натирание.
Мягкий материал с влаговыводящими свойствами
Технология 4-Way Srtetch анатомически повторяет форму тела и обеспечивает максимальный комфорт движения
Эластичный пояс</t>
  </si>
  <si>
    <t>UA Performance Tech 3pk Qtr</t>
  </si>
  <si>
    <t>1379510-011</t>
  </si>
  <si>
    <t>Носки (3 пары)</t>
  </si>
  <si>
    <t>Носки и гетры</t>
  </si>
  <si>
    <t>Ткань HeatGear® отводит пот с кожи, сохраняя прохладу, сухость и легкость.
Технология защиты от запаха предотвращает рост вызывающих неприятный запах микробов.
Динамическая поддержка свода стопы помогает снизить усталость ног.
Стратегическая подушка уменьшает объем, обеспечивает гибкость и воздухопроницаемость.
Сетчатые вставки для дополнительной воздухопроницаемости.</t>
  </si>
  <si>
    <t>черный/серый/белый</t>
  </si>
  <si>
    <t>98% полиэстер, 2% эластан</t>
  </si>
  <si>
    <t>37-41</t>
  </si>
  <si>
    <t>UA Performance Tech 3pk Crew</t>
  </si>
  <si>
    <t>1379512-001</t>
  </si>
  <si>
    <t>Это не просто носки. Они сохраняют твои ноги в прохладе и поддерживают суставы. Они даже имеют технологию против запаха. Эти носки созданы для спортсменов. Прочный материал отводит пот и быстро сохнет. Новая конструкция Locked-In Fit надежно фиксирует носок на пятке, не требуя дополнительной регулировки. Средняя амортизация по всей стопе для комфорта и защиты. Сетчатые панели на верхней части стопы для дополнительной воздухопроницаемости. Встроенный супинатор помогает уменьшить усталость стопы.</t>
  </si>
  <si>
    <t>Y UA Performance Tech 3pk NS</t>
  </si>
  <si>
    <t>1379519-001</t>
  </si>
  <si>
    <t>Ультратонкая, легкая конструкция, которая почти не ощущается. Материал отводит пот и быстро сохнет. Сетчатые панели на передней части стопы для дополнительной воздухопроницаемости. Встроенный супинатор уменьшает усталость стопы.</t>
  </si>
  <si>
    <t>26-31</t>
  </si>
  <si>
    <t>Y UA Perform Tech 3p Crew</t>
  </si>
  <si>
    <t>1379521-001</t>
  </si>
  <si>
    <t>Это не просто старые носки. Они сохранят ваши ноги прохладными. Они дают вам поддержку свода стопы. Это носки, созданные для спортсменов. Прочный материал впитывает пот и очень быстро сохнет. Новая конструкция Locked-In Fit надежно удерживает носок на пятке, не допуская регулировки. Средняя амортизация по всей стопе для комфорта и защиты. Сетчатые вставки в верхней части стопы для дополнительной воздухопроницаемости. Встроенная поддержка свода стопы помогает снизить усталость ног.</t>
  </si>
  <si>
    <t>36-39</t>
  </si>
  <si>
    <t>Unisex UA Perf Tech 6pk Crew</t>
  </si>
  <si>
    <t>1386242-003</t>
  </si>
  <si>
    <t>Носки (6 пар)</t>
  </si>
  <si>
    <t>Это не просто обычные носки. Они сохраняют ваши ноги прохладными. Они обеспечивают поддержку свода стопы. Это носки, созданные для спортсменов.
• Прочный материал отводит влагу и очень быстро сохнет
• Новый дизайн Locked-In Fit надёжно фиксирует носок на пятке, обеспечивая посадку без необходимости поправок
• Средняя амортизация по всей стопе для комфорта и защиты
• Сетчатые вставки на верхней части стопы для дополнительной вентиляции
• Встроенная поддержка свода стопы помогает снизить усталость ног</t>
  </si>
  <si>
    <t>UA W Charged Impulse 3-PPL</t>
  </si>
  <si>
    <t>3025427-500</t>
  </si>
  <si>
    <t>Кроссовки</t>
  </si>
  <si>
    <t>Обувь для спорта</t>
  </si>
  <si>
    <t>UA W Charged Impulse 3 - кроссовки, которые помогут воплотить в жизнь ваши самые смелые спортивные цели. Они обладают максимальной амортизацией и удобством для более продолжительных и эффективных тренировок. Кроссовки имеют прочную и легкую конструкцию, которая поддерживает вашу ногу в течение всего дня. Технология Charged Cushioning в этих кроссовках обеспечивает исключительную амортизацию и отзывчивость, а также защищает ваши суставы от повреждений при интенсивных тренировках. Кроме того, имеются дополнительные вставки из перфорированной сетки в верхней части, которые обеспечивают дополнительную вентиляцию.
Продуманный и современный дизайн безусловно привлечет внимание окружающих и добавит дополнительный стиль вашему образу. Кроссовки UA W Charged Impulse 3 - это лучший выбор для тех, кто ищет долговечность, комфорт и высокую функциональность во время своих тренировок.</t>
  </si>
  <si>
    <t>UA Charged Cushioning. Технология амортизации кроссовок поглощает удар при каждом шаге и обеспечивает непревзойденный уровень комфорта при длительном беге.</t>
  </si>
  <si>
    <t>62% текстиль, 38% синтетическое волокно, подошва: 100% резина</t>
  </si>
  <si>
    <t>5,5</t>
  </si>
  <si>
    <t>6,5</t>
  </si>
  <si>
    <t>UA W Charged Pursuit 3</t>
  </si>
  <si>
    <t>3024889-001</t>
  </si>
  <si>
    <t>Новое поступление</t>
  </si>
  <si>
    <t>Беговые кроссовки UA W Charged Pursuit 3  выполнены из износостойкой и легкой синтетической сетчатой ткани. Конструкция плотно прилегающего язычка Вurrito обеспечивает точную посадку и эффективную поддержку среднего отдела стопы. Внешний задник гарантирует поддержку и блокировку низкой платформы, благодаря средней вставке из гладкого трикотажа стопа ощущает себя комфортно, а свод стопы надежно поддерживается с учетом индивидуальных особенностей. Стелька 4D Foam принимает форму ступни, снижает вероятность проскальзывания и обеспечивает идеальное удобство при носке. Промежуточная подошва Charged Cushioning гарантирует идеальную амортизацию. Не оставляющая следов резиновая подошва во всю стопу повышает износостойкость, гарантирует оптимальное сцепление и поддержку.ичную амортизацию во время бега.</t>
  </si>
  <si>
    <t>верх: 86% текстиль, 14% синтетический материал, подкладка: текстиль, подошва: 70% резина, 30% ЭВА</t>
  </si>
  <si>
    <t>6</t>
  </si>
  <si>
    <t>UA W HOVR Sonic 6</t>
  </si>
  <si>
    <t>3026128-003</t>
  </si>
  <si>
    <t>Знакомьтесь с новым прорывом в мире функциональной обуви – кроссовки UA W HOVR Sonic 6! Эти кроссовки – ваш идеальный партнер для бега, который обеспечит несравненный комфорт и поддержку на каждом шагу.
Инновационная технология UA HOVR обеспечивает невероятное ощущение "нулевой гравитации" под ногами, снижает нагрузку на стопу и обеспечивает возврат энергии, что помогает вам бежать эффективнее и увереннее. С каждым шагом вы ощутите, как энергия возвращается, подталкивая вас вперед.
Эти кроссовки не просто обеспечивают комфорт, они также символизируют стиль и инновационность. Сетчатый верх обеспечивает отличную вентиляцию и удерживает форму, а уникальная система шнуровки гарантирует плотное и комфортное облегание стопы.
Разработанные с учетом потребностей активных женщин, UA W HOVR Sonic 6 сочетают в себе элегантность и технологичность. Использование половинчатого воротника и язычка для надежности и удобства при надевании, а также встроенные элементы для стабилизации стопы делают их идеальным выбором для серьезных бегунов и тех, кто ценит комфорт и поддержку.
Подошва с уникальным рисунком обеспечивает отличное сцепление с любой поверхностью, позволяя вам уверенно двигаться по асфальту или тропам. А благодаря стильному дизайну и множеству цветовых решений, эти кроссовки станут вашим фаворитом не только во время занятий спортом, но и в повседневной жизни.
С кроссовками UA W HOVR Sonic 6 каждый ваш бег превращается в стремление к совершенству. Это не просто кроссовки – это стимул для вашего личного рекорда и повседневного комфорта. Впустите будущее бега в свою жизнь уже сегодня!</t>
  </si>
  <si>
    <t>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t>
  </si>
  <si>
    <t>верх 87% текстиль, 13% синтетика, подкладка текстиль, подошва резина</t>
  </si>
  <si>
    <t>3024889-500</t>
  </si>
  <si>
    <t>Верх: 86% текстиль, 14% синтетический материал~Подошва: 70% резина, 30% этиленвинилацетат (ЭВА)</t>
  </si>
  <si>
    <t>Remix</t>
  </si>
  <si>
    <t>3020194-101</t>
  </si>
  <si>
    <t>Обивка из пполиматериала внутри кроссвок облегает щиколотку и обеспечивает невероятный комфорт. Усиленный задник для лучшей фиксации и поддержки. Подошва из пены EVA для максимального комфорта. Резиновая подошва обеспечивает прочность, надежное сцепление и поддержку. Перепад: 10 мм.</t>
  </si>
  <si>
    <t>Весна</t>
  </si>
  <si>
    <t>70% текстиль;30% резина</t>
  </si>
  <si>
    <t>UA W HOVR Infinite 3 Storm</t>
  </si>
  <si>
    <t>3024233-001</t>
  </si>
  <si>
    <t>Эта модель кроссовок подходит бегунам, которым важен оптимальный баланс гибкости и амортизации. UA HOVR  Infinite 3 оснащены сенсором Record Sensor и могут выступать в качестве "тренера", если подключить их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На подошве расположены глубокие канавки для максимальной гибкости в ключевых областях. Накладки из углеродистой резины под пяткой повышают сцепление с поверхностью и износостойкость. Сверхлегкий сетчатый верх улучшает воздухопроницаемость и обеспечивает надежную поддержку стопы, что особенно важно при беге на скорость. В районе пятки предусмотрен дополнительный внутренний фиксатор, а вырезанная по всей длине стелька из EVA предотвращает соскальзывание и гарантирует максимальный комфорт.</t>
  </si>
  <si>
    <t>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</si>
  <si>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верх: 85% текстиль, 15% синт.материалы, подкладка: текстиль, подошва: резина</t>
  </si>
  <si>
    <t>UA Charged Maven Trail WP</t>
  </si>
  <si>
    <t>3027206-200</t>
  </si>
  <si>
    <t>Trail Running</t>
  </si>
  <si>
    <t>Приготовьтесь покорять новые вершины с кроссовками UA Charged Maven Trail WP от Under Armour. Эти кроссовки разработаны специально для любителей активного отдыха на природе и обеспечат вам непревзойденное удобство и надежность даже в самых суровых условиях.
Основные характеристики и технологии:
- Водонепроницаемая мембрана:
  Надежно защищает ваши ноги от влаги, сохраняя их сухими и комфортными независимо от погодных условий. 
- Технология Charged Cushioning®:
  Инновационная амортизирующая технология обеспечивает превосходную поддержку и защиту от ударных нагрузок, делая каждый шаг максимально комфортным.
- Прочная подошва:
  Специально разработанная для трейлов продвинутая протекторная конструкция обеспечивает отличное сцепление с различными поверхностями – от грязи и песка до каменистых тропинок.
- Дышащий верх:
  Верх из сочетания текстиля и синтетических материалов обеспечивает отличную воздухопроницаемость и вентиляцию, предотвращая перегрев ног во время длительных походов.
- Удобная фиксация:
  Система быстрой шнуровки и плотная посадка гарантируют надежную фиксацию стопы, предотвращая скольжение и минимизируя риск травм.
- Легкость конструкции:
  Легкий вес кроссовок позволяет вам чувствовать меньше усталости и больше наслаждаться вашим приключением.
- Стильный дизайн:
  Удобные и функциональные, эти кроссовки также имеют современный дизайн.</t>
  </si>
  <si>
    <t>верх: 56% синт.материалы, 44% текстиль, подкладка: текстиль, подошва: 100% резина</t>
  </si>
  <si>
    <t>UA W Charged Aurora 2</t>
  </si>
  <si>
    <t>3025060-001</t>
  </si>
  <si>
    <t>Кроссовки выполнены из лёгкого воздухопроницаемого текстиля. Сетчатый верх обеспечивает отличную воздухопроницаемость в местах, где это необходимо. Формованная подкладка Micro G адаптируется форму ноги для максимального комфорта. Плотно прилегающий крой не позволяет стопе гулять внутри кроссовка для оптимального комфорта при статичной работе. Мягкая амортизирующая пена Charged обеспечит поглощение ударной энергии и отличную амортизацию. Плоская плотная подошва обеспечит максимальную устойчивость и фиксацию стопы. Данная модель отлично подойдёт для тренинга. Перепад: 6 мм.</t>
  </si>
  <si>
    <t>верх: текстиль, иск.кожа, подкладка: текстиль, подошва: резина</t>
  </si>
  <si>
    <t>UA Infinite Elite 2</t>
  </si>
  <si>
    <t>3028169-100</t>
  </si>
  <si>
    <t>Работаете над выносливостью? Модель UA Infinite Elite создана с использованием самой новой и упругой амортизации UA HOVR+, чтобы ваши ноги оставались свежими во время длительных тренировок. Благодаря этому вы будете готовы к игре и обгоните всех, когда наступит решающий момент.
Верх из технической сетки обеспечивает лёгкость и воздухопроницаемость для комфортных длительных пробежек
Мягкая конструкция язычка и горловины обеспечивает удобство при надевании и точную посадку
Конструкция пятки помогает мягко приземляться, снижает ударную нагрузку и повышает общую устойчивость
Трёхмерная формованная стелька повторяет форму стопы, обеспечивая максимальный комфорт при первом же шаге
Полноразмерная сверхупругая подошва UA HOVR+ уменьшает нагрузку, возвращает энергию и помогает двигаться вперёд
Лёгкая резиновая подошва спроектирована так, чтобы обеспечивать долговечность и упругость в самых важных зонах</t>
  </si>
  <si>
    <t>HOVR DS RIDGE TREK WP</t>
  </si>
  <si>
    <t>3026736-300</t>
  </si>
  <si>
    <t>Отправляйтесь покорять непроходимые тропы с дерзостью и уверенностью в кроссовках HOVR DS Ridge Trek WP – исключительном выборе для истинных искателей приключений и любителей активного отдыха.
Эти мультитеррейновые кроссовки воплощают в себе инженерное искусство Under Armour, предоставляя вам не только защиту и устойчивость, но и передовые технологии для вашего максимального комфорта в ходе долгих походов. С непревзойденной технологией UA HOVR вы ощутите невообразимую легкость и амортизацию, которые делают каждый шаг энергичным и мягким, снижая усталость и улучшая выносливость.
Защищенные от воды благодаря технологии WP (Waterproof), кроссовки HOVR DS Ridge Trek обеспечат надежную защиту ваших ног даже в экстремальных условиях. Водонепроницаемый верх с защитой от проникновения грязи и влаги позволит вам смело ступать туда, где другие не решатся.
Динамичный и агрессивный дизайн подошвы с улучшенной тракцией обеспечит исключительное сцепление с различными поверхностями, давая уверенность в ходе подъемов и спусков. А усиленная конструкция в области носка защитит от травм и ударов при контакте с камнями или корнями.
Кроссовки HOVR DS Ridge Trek WP выполнены с заботой о деталях: от яркой цветовой палитры до функциональных особенностей, таких как подтяжки для легкого надевания и съема. Ваш комфорт и стабильность обеспечиваются продвинутой системой шнуровки и оптимизированной пяткой, которая обеспечит дополнительную поддержку.
Выбор кроссовок HOVR DS Ridge Trek WP – это выражение желания быть свободным и несгибаемым в лице природных испытаний. Побеждайте любые препятствия и открывайте для себя непознанное в обуви, которая разработана для ваших самых замечательных путешествий.</t>
  </si>
  <si>
    <t>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 Waterproof. Водооталкивающий материал.</t>
  </si>
  <si>
    <t>синтетика, текстиль, резина</t>
  </si>
  <si>
    <t>UA W Charged Bandit TR 2</t>
  </si>
  <si>
    <t>3024191-001</t>
  </si>
  <si>
    <t>UA W Charged Bandit TR 2 - это идеальный выбор для тех, кто ищет высокое качество и комфорт в своих кроссовках для занятий спортом и повседневного использования. Кроссовки изготовлены из материалов высокого качества с технологией Charged Cushioning, которая обеспечивает максимальную амортизацию и комфорт. Протектор подошвы - износостойкая, благодаря технологии Micro G, которая обеспечивает максимальную устойчивость при нагрузках. Они также обладают технологией Threadborne, которая обеспечивает прекрасную вентиляцию, защиту от пота и лучшую адаптацию к форме ноги. Кроссовки сделаны из легкого материала, что позволяет ногам дышать и чувствовать себя комфортно во время тренировок или прогулок. Они также имеют удобную и прочную шнуровку, которая обеспечивает идеальную посадку. Кроссовки имеют привлекательный дизайн с логотипом Under Armour, что делает их не только функциональными, но и стильными на вид. Если вы ищете кроссовки, которые сочетали бы в себе стиль, комфорт и высокое качество - то UA W Charged Bandit TR 2 - идеальный выбор.</t>
  </si>
  <si>
    <t>верх: 60% текстиль, 40% синт.материал, подкладка: текстиль, подошва: резина</t>
  </si>
  <si>
    <t>UA W Charged Rogue 3 Storm</t>
  </si>
  <si>
    <t>3025524-002</t>
  </si>
  <si>
    <t>Премьера сезона – кроссовки UA W Charged Rogue 3 Storm, созданные командой Under Armour, чтобы заставить каждую непогоду отступить перед вашей решимостью. Сочетание динамичного дизайна, передовых технологий и беспрецедентной стойкости к элементам – вот что делает эти кроссовки непреодолимым выбором для спортсменок, жаждущих превзойти самих себя.
Погода больше не проблема: Проектировавшиеся с технологией UA Storm, этот чудо-кроссовок обеспечивает водонепроницаемую защиту, сохраняя ноги сухими и комфортными даже в самый ливневый день.
Высокие энергетические показатели: Заряженные вставки Charged Cushioning в средней подошве гарантируют отличное энерговозвращение и оптимальное смягчение, взрывая каждый шаг необходимым ресурсом для длительных тренировок.
Адаптивная поддержка: Легкие, прочные материалы верха кроссовка, сочетающиеся с продуманной системой шнуровки, создают идеальную посадку, которая адаптируется под конкретные движения вашей стопы.
Превосходное сцепление: Прочная резиновая подошва с уникальным рисунком обеспечивает исключительное сцепление с поверхностью, позволяя уверенно покорять мокрые и скользкие дороги.
Дышащий комфорт: Верх кроссовка из сетчатого материала пропускает воздух, регулируя температуру внутри и облегчая каждый пробег, несмотря на влажную погоду.
Элегантность и мощь: В UA W Charged Rogue 3 Storm гармонично сочетается современный дизайн и женственность, подчеркивая ваш стиль и увеличивая уверенность в каждом шаге.
Износостойкость, проверенная временем: Использование качественных материалов и превосходная сборка делают эти кроссовки стойкими к повседневным нагрузкам и износу.
Возьмите в свои руки контроль над маршрутами с UA W Charged Rogue 3 Storm – кроссовки, которые не щадят погодные условия и позволяют вам ускориться до невиданных ранее скоростей. Улучшенный комфорт, стабильность и водонепроницаемость ждут вас в каждом шаге. Для бегуньи, которая требует от своей обуви больше – UA W Charged Rogue 3 Storm предлагают эффективность при любой погоде, совершенное сцепление и стильный внешний вид для безупречных пробежек.</t>
  </si>
  <si>
    <t>верх 51% текстиль, 49% синтетическое волокно, подошва 80% резина, 20% этиленвинилацетат (ЭВА)</t>
  </si>
  <si>
    <t>5</t>
  </si>
  <si>
    <t>UA W HOVR Turbulence 2</t>
  </si>
  <si>
    <t>3026525-001</t>
  </si>
  <si>
    <t>Кроссовки Under Armour Hovr Turbulence 2 предназначены для бегунов на длинные дистанции, которым необходима идеальная комбинация амортизации, отскока, долговечности и эффективности.</t>
  </si>
  <si>
    <t>UA W Infinite</t>
  </si>
  <si>
    <t>3027524-001</t>
  </si>
  <si>
    <t>Поддержка, которая нужна, чтобы тренироваться усерднее. Созданы с учетом плотной посадки и мягкими, упругими амортизирующими вставками UA HOVR™, которые дольше сохраняют ощущение свежести ног.
Верх из трикотажа обеспечивает воздухопроницаемость, прочность и легкую фиксацию
Подошва с системой комфортной посадки обеспечивает максимальный комфорт при первом надевании
Реактивная амортизация UA HOVR™ уменьшает нагрузку, возвращает энергию и помогает двигаться вперед
Прочный резиновый протектор обеспечивает сцепление, долговечность и гибкость для правильного отталкивания пальцами</t>
  </si>
  <si>
    <t>верх: текстиль, иск.кожа; подкладка: текстиль; подошва: резина</t>
  </si>
  <si>
    <t>UA U Infinite Pro 2 Storm</t>
  </si>
  <si>
    <t>6000018-023</t>
  </si>
  <si>
    <t>Лёгкие и устойчивые кроссовки, которые отлично подойдут при влажной и прохладной погоде. Они создавались для комфортного бега на длительные дистанции и ващего комфорта.
Особенности:
Влагоотталкивающая технология UA Storm — защищает от дождя, сохраняя при этом воздухопроницаемость&lt;br&gt;
Подкладка воротника и язычка мягкая — обеспечивает комфорт и лучшее прилегание к ноге&lt;br&gt;
Амортизация UA HOVR+ с подпружинивающим эффектом — снижает ударную нагрузку, возвращая энергию при каждом шаге&lt;br&gt;
Средняя подошва из лёгкой пены EVA — мягкая посадка и стабильность&lt;br&gt;
Прочная резиновая подошва — хорошо хватается за поверхность и выдерживает длительный износ&lt;br&gt;
Конструкция пятки — помогает сделать посадку плавной и снизить нагрузку при приземлении&lt;br&gt;
Технические параметры:&lt;br&gt;
Перепад между пяткой и носком : 8 мм&lt;br&gt;
Пронация: нейтральная</t>
  </si>
  <si>
    <t>верх: 85% текстиль, 15% синт.материалы, подкладка: текстиль, подошва: 100% резина</t>
  </si>
  <si>
    <t>9/10,5</t>
  </si>
  <si>
    <t>9,5/11</t>
  </si>
  <si>
    <t>10/11,5</t>
  </si>
  <si>
    <t>10,5/12</t>
  </si>
  <si>
    <t>11/12,5</t>
  </si>
  <si>
    <t>11,5/13</t>
  </si>
  <si>
    <t>UA W Charged Speed Swift</t>
  </si>
  <si>
    <t>3027006-102</t>
  </si>
  <si>
    <t>Знакомьтесь с новыми стандартами скорости и удобства в забегах с UA W Charged Speed Swift от Under Armour — кроссовками, спроектированными для женщин, которые стремятся двигаться быстрее и дольше, совершенно не жертвуя комфортом.Созданные для динамичных и энергичных тренировок, эти кроссовки оснащены революционной технологией Charged Cushioning®, которая обеспечивает непревзойденное поглощение ударов и возвратную энергию при кажом шаге, поддерживая ваши стопы воодушевленными и готовыми к новым вызовам. Легкий, но одновременно прочный верх кроссовок выполнен из сетчатого материала, который гарантирует великолепную вентиляцию и поддержание оптимальной температуры внутри обуви. Сочетание гибкости и воздухопроницаемости делает эти кроссовки идеальными для бега в теплую погоду или продолжительных тренировок в зале. Анатомически разработанная стелька соответствует форме вашей стопы, создавая ощущение естественного и удобного «гнезда», которое снижает усталость и повышает производительность. Низкопрофильный дизайн дополняется усиленной пяткой, обеспечивая стабильность и защиту при беге по пересеченной местности. UA W Charged Speed Swift не просто кроссовки — это манифест мобильности, созданный с учетом специфики женской анатомии. С их помощью каждая тренировка превращается в возможность вновь испытать восхитительное чувство легкости и силы, и каждый забег — в шанс покорить новые горизонты быстроты и изящества. Выбирая UA W Charged Speed Swift, вы выбираете не просто обувь для бега, а настоящего партнера для достижения спортивных мечтаний, инженерную мысль, оформленную в стильный и функциональный дизайн. Начните свой путь к скоростным вершинам с Under Armour — и пусть каждый шаг наполняется зарядом энергии!</t>
  </si>
  <si>
    <t>верх: 98% текстиль, 2% синт.материалы, подкладка: текстиль, подошва: 50% резина, 50% этилвинилацетат (ЭВА)</t>
  </si>
  <si>
    <t>UA W FLOW BCL Wind</t>
  </si>
  <si>
    <t>3023561-104</t>
  </si>
  <si>
    <t>UA FLOW fast. легкая безрезиновая и прочная наша новейшая амортизация дает новое ощущение скорости при беге. ПОДКЛЮЧАЕТСЯ К UA MAPMYRUN : отслеживает и анализирует ваши беговые показатели, чтобы помочь вам стать лучше. Верх с технологией Warp  оптимизирует удержание за счет облегчения блокировки и обеспечивает максимальную воздухопроницаемость. Цельная промежуточная подошва FLOW обеспечивает отзывчивую и долговечную амортизацию. Технология FLOW исключает резиновую подошву, создание более легкого и плавного движения по любой поверхности. Материал подошвы сверхпрочный и увеличивает сцепление с грунтом. Перепад: 8 мм. Вес кроссовка: 241 грамм.</t>
  </si>
  <si>
    <t>UA Flow. Исключительная амортизация беговых кроссовок - быстрее, мягче и легче к достижению результатов. Прочность и сцепление при каждом шаге. Формованная стелька разработана с учетом анатомических особенностей стопы мужчин и женщин. Верхняя часть UA WARP распределяет нагрузку по зонам и фиксирует стопу, при этом снижает вес обуви за счет уменьшения слоев материала.</t>
  </si>
  <si>
    <t>Верх: 96% текстиль,4% синтетический материал~Подошва: 100% этиленвинилацетат</t>
  </si>
  <si>
    <t>UA FLOW FUTR X 4 CAMO</t>
  </si>
  <si>
    <t>3027772-001</t>
  </si>
  <si>
    <t>Баскетбол</t>
  </si>
  <si>
    <t>Кроссовки UA FLOW FUTR X 4 CAMO — это стильная и технологически продвинутая обувь, предназначенная для тех, кто стремится к максимальной производительности и уникальному дизайну. Эти кроссовки выделяются своим камуфляжным узором, который придает им современный и динамичный вид, идеально подходящий для активного образа жизни.
Модель оснащена инновационной подошвой UA Flow, которая обеспечивает легкость, гибкость и отличное сцепление с различными поверхностями без использования резиновой подметки. Это обеспечивает улучшенное ощущение скорости и маневренности во время тренировок или в повседневной активности. Верх кроссовок выполнен из легких и дышащих материалов, которые обеспечивают надежную фиксацию и превосходную вентиляцию, поддерживая комфорт даже при длительной носке.
Оригинальный стиль и производительность UA FLOW FUTR X 4 CAMO делают эти кроссовки идеальным выбором для тех, кто ищет сочетание современного дизайна и передовых технологий в спортивной обуви.</t>
  </si>
  <si>
    <t>верх: 65% текстиль, 35% синт.материалы, подошва: 100% ЭВА</t>
  </si>
  <si>
    <t>UA W Charged Rogue 4</t>
  </si>
  <si>
    <t>3027005-001</t>
  </si>
  <si>
    <t>Переопределите свои беговые ожидания с Under Armour W Charged Rogue 4, разработанными для амбициозных спортсменок, стремящихся к новым достижениям. Эти кроссовки сочетают безупречный стиль и инновационную функциональность, обеспечивая силу и поддержку для километров впереди. С двойной зоной амортизации, включая пену Charged Cushioning под пяткой и мягкий, адаптивный Micro G пенный слой на передней части стопы, W Charged Rogue 4 гарантируют комфортное смягчение и возврат энергии при каждом шаге. Полиуретановая стелька повторяет анатомию вашей стопы, добавляя дополнительную удобство в долгосрочной перспективе. Легкий сетчатый верх синтезирует дышащую структуру и прочность, создавая оптимальную вентиляцию и при этом сохраняя стопу в безопасности. Высокопрочные волокна крепко удерживают ногу, обеспечивая стабилизацию на быстрых поворотах и внезапных спринтах. Прочная резиновая подошва с уникальным рисунком обеспечивает долговечное сцепление на различных поверхностях, гарантируя уверенный шаг в любой ситуации. Контрастный дизайн с броскими цветовыми акцентами делают эти кроссовки не только функциональным, но и модным дополнением к спортивному гардеробу. В Under Armour W Charged Rogue 4 каждая бегунья найдет технологии, необходимые для обуздания скорости, и стиль, подчеркивающий ее спортивные амбиции. Бегите дальше и быстрее, чувствуя себя превосходно на каждом шагу!</t>
  </si>
  <si>
    <t>верх: 89% текстиль, 11% синт.материалы, подкладка: текстиль, подошва: 80% резина, 20% ЭВА</t>
  </si>
  <si>
    <t>UA FLOW FUTR X Elite LUX</t>
  </si>
  <si>
    <t>3028334-001</t>
  </si>
  <si>
    <t>Under Armour UA FLOW FUTR X Elite LUX — это кроссовки, объединяющие современный стиль и инновационные технологии для активного образа жизни. Верх выполнен из текстиля и синтетических материалов, что обеспечивает легкость и превосходную воздухопроницаемость, позволяя ногам оставаться свежими даже при интенсивных нагрузках. Подошва из материала ЭВА гарантирует отличную амортизацию и поддержку, снижая ударные нагрузки и обеспечивая комфорт на каждом шагу. Застежка на шнуровке позволяет легко настроить идеальную посадку, фиксируя стопу надежно и комфортно. Элегантный дизайн UA FLOW FUTR X Elite LUX делает эти кроссовки идеальным выбором как для тренировок, так и для повседневной носки, добавляя уверенности в каждом движении.</t>
  </si>
  <si>
    <t>верх: 93% текстиль, 7% синт.материалы, подошва: 100% ЭВА</t>
  </si>
  <si>
    <t>UA W HOVR Infinite 5</t>
  </si>
  <si>
    <t>3026550-002</t>
  </si>
  <si>
    <t>Женские беговые кроссовки Under Armour Hovr Infinite 5 отлично подойдут бегунам, которым нужна гибкость, амортизация и универсальность.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Данная обувь отлично подойдет для длительных и повседневных пробежек по асфальту и беговой дорожке.
Особенности:  
&lt;li&gt;Верх выполнен из сетчатого текстиля для более лучшего прилегания и увеличения вентиляции &lt;/li&gt;
&lt;li&gt;Формованная стелька обеспечивает комфорт&lt;/li&gt;
&lt;li&gt;Система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использования&lt;/li&gt;
&lt;li&gt;Подошва из твердой резины для надежного сцепления с поверхностью&lt;/li&gt;
&lt;li&gt;Анатомически расположенные глубокие изогнутые канавки для большей гибкости в ключевых областях&lt;/li&gt;
&lt;li&gt;Перепад 8 мм. &lt;/li&gt;</t>
  </si>
  <si>
    <t>верх 98% текстиль, 2% синтетический материал, подкладка текстиль, подошва резина</t>
  </si>
  <si>
    <t>SpeedForm ® Europa</t>
  </si>
  <si>
    <t>1285482-002</t>
  </si>
  <si>
    <t>Для бегунов, которым нужен баланс гибкости и амортизации. 
За счет инновационной структуры UA SpeedForm изделие принимает форму ступни, обеспечивая точную посадку и низкий риск растяжения. 
Панели в области средней части стопыобеспечивают надежную фиксацию и гибкую поддержку. 
Язычок и носок покрыты легкой сеткой для улучшенного прилегания и увеличения вентиляции. 
Внешний задник для дополнительной поддержки и структуры. 
Промежуточная подошва Charged Cushioning на основе прессованной пены повышает способность к реагированию и износостойкость. 
Дутая резина под передней частью стопы легкая, но невероятно отзывчивая. 
Износостойкая резина в области пятки отлично амортизирует толчки при контакте с поверхностью. 
Перепад: 8 мм.</t>
  </si>
  <si>
    <t>UA Charged Cotton. Натуральный хлопок нового поколения. Ткань быстро высыхает, не прилипает к коже, что обеспечивает циркуляцию воздуха и дополнительный комфорт во время тренировки.</t>
  </si>
  <si>
    <t>70% текстиль;30% искусственный материал</t>
  </si>
  <si>
    <t>UA W Mojo 2</t>
  </si>
  <si>
    <t>3024131-501</t>
  </si>
  <si>
    <t>Кроссовки Under Armour для занятий спортом и отдыха и на каждый день. Верх из мягкого текстиля обеспечивает чрезвычайно удобную посадку и удобство на ощупь. Вырезанная по всей длине стелька из EVA для дополнительного комфорта при ходьбе. Цельная подошва из пеноматериала EVA для мягкой и легкой амортизации. Резиновая подошва по всей длине для оптимального сцепления и долговечности. Рисунок подошвы, вдохновленный шинами, обеспечивает максимальную гибкость и превосходное сцепление.</t>
  </si>
  <si>
    <t>Верх: 80% текстиль,20% синтетический материал~Подошва: 100% этиленвинилацетат</t>
  </si>
  <si>
    <t>UA W Charged Valsetz</t>
  </si>
  <si>
    <t>3027386-001</t>
  </si>
  <si>
    <t>Ботинки UA W Charged Valsetz — это сочетание стиля, комфорта и высокой функциональности, разработанные специально для активных и динамичных женщин. Эти ботинки обеспечивают превосходную амортизацию благодаря технологии Charged Cushioning, которая поглощает удары и возвращает энергию при каждом шаге. Верх выполнен из прочного и дышащего материала, который сохраняет ваши ноги сухими и комфортными даже в самых сложных условиях. Дополнительная поддержка голеностопа и прочная подошва обеспечивают отличное сцепление и устойчивость на разнообразных поверхностях. Ботинки UA W Charged Valsetz станут надежным спутником как в городских условиях, так и на природе, сочетая в себе стильный дизайн и высокую производительность.</t>
  </si>
  <si>
    <t>верх: текстиль, иск.кожа; подкладка: текстиль; подошва: резина</t>
  </si>
  <si>
    <t>UA W Infinite Elite</t>
  </si>
  <si>
    <t>3027199-500</t>
  </si>
  <si>
    <t>Выдержанная в современной эстетике, каждая деталь кроссовки UA Infinite Elite была продумана для улучшения атлетической функции. Инновационная подошва с уникальным рисунком обеспечивает оптимальное сцепление с разными поверхностями, а также гарантирует плавное перекатывание стопы в процессе бега, повышая таким образом эффективность каждого шага. Специально разработанный материал верха кроссовок прекрасно облегает стопу, создавая ощущение второй кожи и обеспечивая исключительную вентиляцию. Система шнуровки обеспечивает надежную фиксацию, не создавая ненужного давления, что важно для долговременного комфорта на тренировках и соревнованиях. Мягкий язычок и воротник, анатомические стельки, а также профессионально спроектированная амортизационная система в межподошве отвечают за поглощение ударных нагрузок и обеспечение отзывчивой поддержки при каждом ударе пяткой о землю. При этом боковые панели усилены для дополнительной стабилизации, поддерживая правильное положение стопы.</t>
  </si>
  <si>
    <t>верх: 100% текстиль, подкладка: текстиль, подошва: 92% резина, 8% ЭВА</t>
  </si>
  <si>
    <t>3027006-001</t>
  </si>
  <si>
    <t>UA W HOVR Sonic 5 Storm-BLK</t>
  </si>
  <si>
    <t>3025459-001</t>
  </si>
  <si>
    <t>UA HOVR Sonic — это легкая задача для бегунов, которые любят длинные дистанции, но нуждаются в большей гибкости, дышащих ощущениях и обратной связи в режиме реального времени от Form Coaching от UA MapMyRun, чтобы помочь вам бегать лучше каждый раз, когда вы их зашнуровываете.</t>
  </si>
  <si>
    <t>верх: сетка, подкладка: текстиль, подошва: резина</t>
  </si>
  <si>
    <t>UA GS Curry 3 Low</t>
  </si>
  <si>
    <t>1285455-003</t>
  </si>
  <si>
    <t>Акценты в этой именной модели Стефа Карри смещены на максимальную защиту голеностопного сустава. Рассчитаны на лёгких и быстрых баскетболистов, но продвинутая амортизация позволяет играть и довольно тяжёлым игрокам. Очень лёгкие.
Технологии : Зоны поддержки Anafoam  в боковой стенке спереди и вокруг пятки, чтобы зафиксировать стопу
Высота : Низкие (Low)
Верх: Верх из прочного текстиля Threadborne с полимерными вставками
Вес, г: 270</t>
  </si>
  <si>
    <t>UA Anafoam. Легкий вес продукта + поддерживающие свойства.</t>
  </si>
  <si>
    <t>Верх Текстиль, Подошва Полимер</t>
  </si>
  <si>
    <t>3,5Y</t>
  </si>
  <si>
    <t>4Y</t>
  </si>
  <si>
    <t>5Y</t>
  </si>
  <si>
    <t>5,5Y</t>
  </si>
  <si>
    <t>3024889-003</t>
  </si>
  <si>
    <t>UA Fat Tire Venture Pro</t>
  </si>
  <si>
    <t>3027212-201</t>
  </si>
  <si>
    <t>Кроссовки с хорошей амортизацией для бега по пересеченной местности, вдохновлённые проходимостью велосипедов Fat Tire.
Верх в кроссовках сделан из прочного рипстопа с зонами из сетки для лучшего проветривания и отвода влаги от стопы. Шнуровка с внешними прочными петлями для более плотной фиксации стопы внутри кроссовка и лучшей управляемости в сложных условиях пересечённой местности. Внутри кроссовок размещена мягкая стелька из пенистого материала, которая увеличивает комфорт при длительном использовании. Промежуточная подошва сделана из фирменной пены UA HOVR с отличными характеристиками по рассеиванию ударной нагрузки и возврату энергии во время отталкивания. Подошва полностью закрыта подметкой из износостойкой резины с агрессивным дизайном протектора, который специально разработан для бега по грунту.</t>
  </si>
  <si>
    <t>верх: 41% кожа, 35% текстиль, 24% синт.материалы, подкладка: текстиль, подошва: 100% резина</t>
  </si>
  <si>
    <t>7,5/9</t>
  </si>
  <si>
    <t>8/9,5</t>
  </si>
  <si>
    <t>8,5/10</t>
  </si>
  <si>
    <t>UA W Shift</t>
  </si>
  <si>
    <t>3027777-001</t>
  </si>
  <si>
    <t>Женские кроссовки UA W Shift от бренда Under Armour – это стильная и функциональная обувь для активного образа жизни. Эти кроссовки представляют собой идеальное сочетание комфорта, поддержки и стиля для занятий спортом или повседневной носки.
Кроссовки UA W Shift имеют дышащий верх из сетчатого материала, который обеспечивает хорошую циркуляцию воздуха и комфорт во время тренировок. Внутренняя подкладка Softfoam поддерживает стопу и обеспечивает мягкую амортизацию при движении.
Верх из эластичного трикотажа обеспечивает легкую воздухопроницаемость и комфорт.
Конструкция с легким надеванием/снятием.
Зажим для пятки из ТПУ обеспечивает улучшенную фиксацию и посадку по фигуре.
Уникальная подошва с рисунком протектора обеспечивает отличное сцепление с поверхностью, дополнительную прочность и долговечность кроссовок. Кроме того, стильный дизайн и яркие цветовые решения делают кроссовки UA W Shift отличным выбором для модных спортсменок.</t>
  </si>
  <si>
    <t>верх: 70% текстиль, 30% синт.материалы, подкладка: текстиль, подошва: 100% резина</t>
  </si>
  <si>
    <t>UA W RailFit 1 3020139-100</t>
  </si>
  <si>
    <t>3020139-100</t>
  </si>
  <si>
    <t>Верх из двухслойной сетки и мягкого пеноматериала обеспечивает гибкую и облегающую поддержку.
Система шнуровки Rail fit оснащена подвижными петлями для шнурков, которые скользят вперед и назад для полной фиксации и регулируемой посадки.
Эластичный пяточный ремешок фиксируется на задней части стопы.
Встроенная стелька для комфорта при ходьбе.
В промежуточной подошве Charged Cushioning используется сжатый пеноматериал для отличной отзывчивости, оптимальной амортизации и возврата энергии.
Подошва с рельефной текстурой и резиновой вставкой для повышенной прочности и сцепления.
Смещение: 2 мм.</t>
  </si>
  <si>
    <t>Верх Текстиль, Подошва Резина</t>
  </si>
  <si>
    <t>3027212-004</t>
  </si>
  <si>
    <t>7/8,5</t>
  </si>
  <si>
    <t>UA W Charged Breathe TR 3</t>
  </si>
  <si>
    <t>3023705-001</t>
  </si>
  <si>
    <t>Когда вы бежите или прыгаете, ваша ступня ударяется о землю с весом в 5 раз превышающим ваш собственный… КАЖДЫЙ раз, когда ваша ступня касается земли. Эта обувь помогает поглотить этот удар, поэтому вы чувствуете себя комфортно. Легкий, дышащий сетчатый верх с металлическими вставками сохраняет прохладу и сухость. Созданы специально для женской стопы с обтекаемой формой. В межподошве Charged Cushionin используется формованная под давлением пена для максимальной  долговечности. Полностью резиновая подошва для повышенного сцепления и прочности с распределением давления</t>
  </si>
  <si>
    <t>UA Charged. Технология амортизации кроссовок поглощает удар при каждом шаге и обеспечивает непревзойденный уровень комфорта при длительном беге.</t>
  </si>
  <si>
    <t>65% текстиль  35% синтетика, подкладка 100% текстиль, подошва 100% резина</t>
  </si>
  <si>
    <t>UA JET '25</t>
  </si>
  <si>
    <t>6001585-402</t>
  </si>
  <si>
    <t>Under Armour UA Jet '25 баскетбольные унисекс-кроссовки  для максимальной производительности на площадке.
Кроссовки Under Armour Jet '25 разработаны для обеспечения надежной фиксации и готовности к старту, сочетая в себе необходимые амортизацию и поддержку для интенсивной игры. Эта модель отлично смотрится как на баскетбольной площадке, так и вне ее. 
 Идеально подходят для игры в баскетбол в зале, а также для повседневного использования.
Полноразмерная промежуточная подошва Micro G® обеспечивает отзывчивую амортизацию и эффективное поглощение ударных нагрузок, возвращая энергию при каждом шаге.Верх из смешанных материалов обеспечивает долговечность и воздухопроницаемость там, где это необходимо.
Плюшевый (мягкий) воротник фиксирует пятку и обеспечивает дополнительный комфорт.Прочная резиновая подметка гарантирует отличное сцепление и стабильность на любой поверхности площадки.Верх преимущественно текстиль и синтетические материалы.
Шнуровка: Стандартная. На этих кроссовках присутствует печатный логотип Under Armour.</t>
  </si>
  <si>
    <t>3027524-101</t>
  </si>
  <si>
    <t>Under Armour UA Infinite- женские кроссовки для бега на длинные дистанции с технологией HOVR™.
Under Armour Infinite разработаны для бегуний, которым необходим идеальный баланс гибкости и амортизации на длинных дистанциях. В основе лежит мягкая и пружинистая амортизация UA HOVR™, которая помогает снизить ударное воздействие, возвращает энергию и отодвигает наступление усталости ног. 
Идеально подходят для тренировочного бега по асфальту и твердым покрытиям, а также для длительных прогулок. Разработаны для спортсменов с нейтральной пронацией стопы. Отзывчивая амортизация снижает ударное воздействие, возвращает энергию и помогает двигаться вперед.
Вязаный верх (Knit upper) обеспечивает воздухопроницаемость, долговечность и легкую фиксацию стопы.
Роскошная стелька  обеспечивает максимальный комфорт при надевании. Прочная резиновая подошва обеспечивает надежное сцепление, долговечность и гибкость для правильного отталкивания.Перепад (Offset): 8 мм. На кроссовках присутствует печатный логотип Under Armour.</t>
  </si>
  <si>
    <t>3024131-002</t>
  </si>
  <si>
    <t>UA GGS SURGE 4</t>
  </si>
  <si>
    <t>3027108-100</t>
  </si>
  <si>
    <t>Кроссовки Under Armour UA GGS Surge 4 созданы специально для девочек, любящих бег и активный образ жизни. Модель оснащена классической шнуровкой, что обеспечивает надежную фиксацию и комфортную посадку на ноге. Верх выполнен из легкого и дышащего сетчатого материала, обеспечивающего отличную вентиляцию и поддержание комфорта даже при длительных пробежках. Специальная межподошва обеспечивает оптимальную амортизацию и поддержку, снижая нагрузку на стопы и суставы. Прочная резиновая подошва гарантирует превосходное сцепление на различных поверхностях, обеспечивая уверенность моментов срывов. Эти стильные и функциональные кроссовки идеально подходят как для тренировок, так и для повседневных прогулок.</t>
  </si>
  <si>
    <t>верх: текстиль, иск.кожа;  подкладка: текстиль; подошва: пластик, резина</t>
  </si>
  <si>
    <t>UA Lockdown 7</t>
  </si>
  <si>
    <t>3028512-453</t>
  </si>
  <si>
    <t>Кроссовки Under Armour UA Lockdown 7 — идеальный выбор для тех, кто ценит стиль и функциональность. Верх модели выполнен из высококачественной кожи, синтетических материалов и текстиля, что обеспечивает легкость и прочность конструкции. Текстильная подкладка способствует лучшей вентиляции, даря комфорт даже при длительном ношении. Резиновая подошва гарантирует отличное сцепление с поверхностью, что делает кроссовки идеальными для занятий спортом и активного отдыха. Классическая шнуровка позволяет регулировать плотность посадки, обеспечивая надежную фиксацию стопы в любых условиях.</t>
  </si>
  <si>
    <t>верх: нат.кожа, иск.кожа, текстиль; подкладка: текстиль; подошва: резина</t>
  </si>
  <si>
    <t>UA W Charged Impulse 3-PNK</t>
  </si>
  <si>
    <t>3025427-600</t>
  </si>
  <si>
    <t>UA W Charged Lightning</t>
  </si>
  <si>
    <t>1285494-410</t>
  </si>
  <si>
    <t>Жаккардовый верх обеспечивает легкую поддержку благодаря бесшовной конструкции. 
 Однокомпонентная подошва Charged Cushioning дарит ощущение легкости. 
 Твердая резиновая подошва в зонах с высокими ударными нагрузками обеспечивает долговечность. 
 Перепад: 10 мм.</t>
  </si>
  <si>
    <t>3024131-005</t>
  </si>
  <si>
    <t>UA W Mojo 2 - это воплощение вашей страсти к активному образу жизни. Эти кроссовки идеально подходят для тех, кто ценит комфорт, функциональность и стиль. Сочетание легкого и дышащего материала в верхней части кроссовок обеспечивает вентиляцию и комфорт в течение всего дня. Удобная шнуровка позволяет вам регулировать посадку и обеспечивает надежную поддержку вашей стопы. Оснащенные инновационной технологией Charged Cushioning, эти кроссовки обеспечивают долговечную амортизацию и отскок для максимальной производительности во время тренировок. Прочная резиновая подошва с амортизирующими элементами по всей поверхности обеспечивает отличное сцепление и устойчивость на различных поверхностях. B UA W Mojo 2 вы можете бросать вызов гравитации и достигать новых высот в своих тренировках. Будьте вдохновленными и готовыми к новым спортивным достижениям с UA W Mojo 2.</t>
  </si>
  <si>
    <t>верх 80% текстиль, 20% синтетическое волокно, подкладка текстиль, подошва 100% эва</t>
  </si>
  <si>
    <t>Threadborne ™ Slingflex</t>
  </si>
  <si>
    <t>1285490-001</t>
  </si>
  <si>
    <t>Для бегунов, которым нужен баланс гибкости и амортизации. 
Верх из ткани Threadborne для обеспечения  воздухопроницаемости. 
Плетение из самого прочного волокна в мире Dyneema  обеспечивает максимальную долговечность и гибкость. 
Внутренний задник с мягкой набивкой обеспечивает защиту. 
Мягкий, прошитый сеткой язычок, прикрепленный к стельке с помощью эластичных опорных клиньев, для улучшения поддержки и плотного прилегания по всей длине стопы. 
Прессованная вкладная стелька  Micro G принимает форму вашей стопы, обеспечивая отличную амортизацию и посадку.
Двухкомпонентная система Charged Cushioning объединяет в себе мягкий бархатный слой пеноматериала поверх слоя плотной укрепленной пены, обеспечивая превосходное сочетание поддержки и комфорта. 
Твердая резиновая подошва покрывает зоны, которые подвержены наиболее сильному внешнему воздействию, для повышенной износостойкости при небольшом весе. 
Перепад: 10 мм.</t>
  </si>
  <si>
    <t>UA Threadborne. Прочный и воздухопроницаемый материал.</t>
  </si>
  <si>
    <t>UA W Charged Rogue 3</t>
  </si>
  <si>
    <t>3024888-001</t>
  </si>
  <si>
    <t>Кроссовки выполнены из лёгкого воздухопроницаемого текстиля. Сетчатый верх обеспечивает отличную воздухопроницаемость в местах, где это необходимо. Двухслойная подушечка Cushioning, размещенная под пяткой и ниже передней части стопы, обеспечивает противоударное действие и предотвращает натирание ноги. Глубокий узор на подошве позволяет обуви лучше гнуться, не стесняя динамику стопы. Мягкая амортизирующая пена Charged обеспечит поглощение ударной энергии и отличную амортизацию во время бега. Усиленная пятка для надёжной фиксации позволит избежать подворотов и различных травм. Светоотражающие элементы повысят вашу видимость в темноте, сделав вашу тренировку безопасней в ночное время суток.</t>
  </si>
  <si>
    <t>верх: 54% текстиль, 46% синтетический материал, подкладка: текстиль, подошва: 70% резина, 30% ЭВА</t>
  </si>
  <si>
    <t>3026736-001</t>
  </si>
  <si>
    <t>верх 63% текстиль, 37% синтетика, подкладка текстиль, подошва резина</t>
  </si>
  <si>
    <t>UA BCL 4</t>
  </si>
  <si>
    <t>3027585-003</t>
  </si>
  <si>
    <t>Under Armour BCL 4 SE — это высокотехнологичные беговые кроссовки, созданные для скорости и комфорта. Верх из 86% текстиля и 14% синтетических материалов обеспечивает идеальную поддержку и вентиляцию, а современный дизайн подошвы предлагает легкость и амортизацию на каждом шаге. Зонированный верх из плоского трикотажа обеспечивает необходимую гибкость и воздухопроницаемость, обеспечивая комфорт и поддержку в ключевых зонах.
- Амортизация из пеноматериала в воротнике обеспечивает максимальную фиксацию и комфорт при каждом воздействии пятки.
- Стелька из ЭВА предлагает дополнительную упругость, добавляя комфорта и смягчение шагов на дороге.
- Легкая промежуточная подошва Flow улучшает отзывчивость и долговечность, убирая необходимость в резиновой подошве для более плавного бега.
- Технология Flow обеспечивает плавное скольжение независимо от поверхности, улучшая скорость и эффективность бега.
- Сверхпрочная подошва с цепким рисунком улучшает сцепление и поддерживает естественный удар ноги.</t>
  </si>
  <si>
    <t>верх: 86% текстиль, 14% синт.материалы, подкладка: текстиль, подошва: 100% этилвинилацетат (ЭВА)</t>
  </si>
  <si>
    <t>UA W Dynamic Select-GRN</t>
  </si>
  <si>
    <t>3026609-300</t>
  </si>
  <si>
    <t>Кроссовки женские Under Armour Dynamic Select Fitness - это модель с дышащим и легким верхом из сетки.
Формованный задник из ТПУ обеспечивает большую боковую поддержку, предотвращая скольжение и обеспечивая стабильность во время тренировок. Мягкая стелька адаптируется к форме вашей стопы, обеспечивая идеальный комфорт при движении.
Межподошва Charged Cushioning обладает отличными амортизирующими свойствами, поглощает удары при каждом шаге и возвращает энергию для более эффективных тренировок.
Кроссовки имеют прочную конструкцию благодаря стратегически расположенным гибким канавкам, которые обеспечивают гибкость и устойчивость.
Резиновая подошва обеспечивает сцепление на различных поверхностях, что делает эти кроссовки идеальными для тренировок в зале или на улице.</t>
  </si>
  <si>
    <t>белый/красный</t>
  </si>
  <si>
    <t>верх: 51% текстиль, 49% синт.материалы~подошва: 100% резина</t>
  </si>
  <si>
    <t>UA HOVR Phantom 3 Storm-ORG</t>
  </si>
  <si>
    <t>3025522-800</t>
  </si>
  <si>
    <t>В межсезонье нужно становиться лучше. Это означает много бега. Быстрые и эластичные кроссовки UA HOVR Phantom 3 помогут вам взорваться от интервала к интервалу благодаря еще более возвращающей энергию амортизации UA HOVR. Беги сейчас… побеждай позже.
Функции:
Обработанный верх с технологией UA Storm отталкивает воду, не жертвуя воздухопроницаемостью.
Формованная панель в средней части стопы для дополнительной структуры и мягкой внутренней амортизации
Трикотажный воротник для легкости посадки и ощущения мягкости, а также внешний задник для стабильной поддержки.
Сверхдышащая стелька SpeedForm 2.0 обеспечивает более мягкую поддержку стопы.
Отзывчивая амортизация UA HOVR снижает ударную нагрузку, возвращает энергию и помогает двигаться вперед.
Полная резиновая подошва со стратегическим рисунком для повышенного сцепления и долговечности
Светоотражающие детали для бега при слабом освещении
Вес: 315 г</t>
  </si>
  <si>
    <t>верх: 53% синт.материалы, 47% текстиль, подкладка: текстиль, подошва: резина</t>
  </si>
  <si>
    <t>UA U INFINITE PRO STORM</t>
  </si>
  <si>
    <t>3027588-600</t>
  </si>
  <si>
    <t>Кроссовки Under Armour UA U INFINITE PRO STORM — это высокотехнологичная обувь, созданная для обеспечения максимального комфорта и производительности в любых погодных условиях. Эти кроссовки оснащены инновационной водоотталкивающей технологией Storm, которая защищает ноги от влаги, сохраняя их сухими и комфортными. Подошва кроссовок выполнена из амортизирующего материала, что обеспечивает отличную поддержку и снижает нагрузку на суставы во время интенсивных тренировок или бега.
Дизайн модели сочетает в себе стиль и функциональность: верх из прочных и дышащих материалов обеспечивает оптимальную вентиляцию, а анатомическая форма колодки способствует естественному движению стопы. Оптимальная подгонка и фиксация обеспечиваются благодаря системе шнуровки и комфортному внутреннему покрытию. Under Armour UA U INFINITE PRO STORM — это идеальный выбор для активных людей, которые не хотят идти на компромиссы между стилем и функциональностью, независимо от погодных условий.</t>
  </si>
  <si>
    <t>верх: 86% текстиль, 14% синт.материалы, подошва: 100% ЭВА</t>
  </si>
  <si>
    <t>UA HOVR Phantom 3 SE-RED</t>
  </si>
  <si>
    <t>3026582-601</t>
  </si>
  <si>
    <t>Беговые кроссовки Under Armour Hovr Phantom 3 Se обеспечивают стабильность и амортизацию.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Верх выполнен из текстиля для дополнительной воздухопроницаемости. 
Жесткий задник удерживает ногу на месте и предотвращает проскальзывание.
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
Полноразмерная резиновая подошва с уникальным рисунком протектора для износостойкости и лучшего сцепления с поверхностью.</t>
  </si>
  <si>
    <t>красный/черный</t>
  </si>
  <si>
    <t>верх: 73% текстиль, 27% синт.материалы, подкладка: текстиль, подошва: 100% резина</t>
  </si>
  <si>
    <t>UA W Slingflex</t>
  </si>
  <si>
    <t>1285490-923</t>
  </si>
  <si>
    <t>UA W Charged Impulse 3-BLK</t>
  </si>
  <si>
    <t>3025427-001</t>
  </si>
  <si>
    <t>Представляем вам кроссовки Under Armour UA W Charged Impulse 3, которые станут вашим надежным спутником на тренировках и в повседневной жизни! Эти кроссовки созданы для того, чтобы обеспечить вам максимальный комфорт и поддержку на протяжении всего дня. Модель Charged Impulse 3 оснащена технологией UA HOVR, которая обеспечивает амортизацию и возвращает энергию при каждом шаге, что позволяет вам чувствовать себя бодрее и готовым к новым достижениям. Кроссовки также имеют усиленную подошву, которая обеспечивает надежное сцепление с поверхностью и защищает вашу стопу от ударов и травм. Особенности включают в себя вентилируемый верх и внутреннюю подкладку, которые обеспечивают вентиляцию и комфорт. Легкий и прочный материал верха обеспечивает поддержку и гибкость в нужных местах, что позволяет вашей стопе двигаться естественным образом. Невероятно стильный дизайн с выразительными контрастными элементами подчеркнет вашу индивидуальность и добавит уверенности на тренировках и в повседневной жизни. Будьте на высоте с кроссовками Under Armour UA W Charged Impulse 3!</t>
  </si>
  <si>
    <t>UA Charged Cushioning. Технология амортизации кроссовок поглощает удар при каждом шаге и обеспечивает непревзойденный уровень комфорта при длительном беге.; 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t>
  </si>
  <si>
    <t>UA W Charged Bandit TR 2-GRY</t>
  </si>
  <si>
    <t>3024191-106</t>
  </si>
  <si>
    <t>UA W Charged Bandit TR 2 - это идеальный выбор для тех, кто ищет высокое качество и комфорт в своих кроссовках для занятий спортом и повседневного использования. Кроссовки изготовлены из материалов высокого качества с технологией Charged Cushioning, которая обеспечивает максимальную амортизацию и комфорт. Протектор подошвы - износостойкая, благодаря технологии Micro G, которая обеспечивает максимальную устойчивость при нагрузках. Они также обладают технологией Threadborne, которая обеспечивает прекрасную вентиляцию, защиту от пота и лучшую адаптацию к форме ноги. Кроссовки сделаны из легкого материала, что позволяет ногам дышать и чувствовать себя комфортно во время тренировок или прогулок. Они также имеют удобную и прочную шнуровку, которая обеспечивает идеальную посадку. Кроссовки имеют привлекательный дизайн с логотипом Under Armour, что делает их не только функциональными, но и стильными на вид. Если вы ищете кроссовки, которые сочетали бы в себе стиль, комфорт и высокое качество - то UA W Charged Bandit</t>
  </si>
  <si>
    <t>серый/коралловый/фиолетовый</t>
  </si>
  <si>
    <t>верх 59% синт.материалы, 41% текстиль, подошва резина</t>
  </si>
  <si>
    <t>UA W Charged Bandit TR 2-GRN</t>
  </si>
  <si>
    <t>3024191-302</t>
  </si>
  <si>
    <t>зеленый/фиолетовый</t>
  </si>
  <si>
    <t>UA W Speedform Slingwrap</t>
  </si>
  <si>
    <t>1295755-001</t>
  </si>
  <si>
    <t>Превосходная посадка и амортизация слингов Under Armour Threadborne Slingwrap — причина, по которой многие бегуны выбирают эту модель. Компания Under Armour с акцентом на совершенствование технологии верха позаботилась о комфорте пользователя и адекватной вентиляции, влага, образующаяся во время бега, эффективно отводится наружу. Гибкая прочная подошва из высококачественного компаунда оснащена протектором, гарантирующим хорошее сцепление. Современные, инновационные технологии, используемые в конструкции, обеспечивают идеальное прилегание обуви к ноге, обеспечивают гибкость и мягкую посадку стопы. Эта модель обеспечивает тепловой комфорт круглый год. Мужская обувь Under Armour Threadborne Slingwrap очень хорошо работает на различных дистанциях и является выбором требовательных бегунов во всем мире.
Верх с нитями для воздухопроницаемой компрессионной посадки, обеспечивающей легкую направленную прочность. Гибкие ремешки Coreshort для средней части стопы охватывают обе стороны стопы для максимальной фиксации и поддержки.
Светоотражающие элементы на ремешке в средней части стопы для повышения безопасности и видимости при беге в условиях слабого освещения.
Формованная стелька Charged Cushioning повторяет форму стопы, обеспечивая индивидуальную посадку и непревзойденный комфорт. Промежуточная подошва из формованного пеноматериала Charged Cushioning для еще большей отзывчивости и долговечности, оптимальной амортизации и возврата энергии. Встроенная клипса из ТПУ под пяткой для улучшенной поддержки и структуры. Анатомическая подошва, разработанная для естественной посадки и производительности.
Изолированные резиновые вставки на подошве для улучшения гибкости. Светоотражающие детали под пяткой для лучшей видимости.</t>
  </si>
  <si>
    <t>Верх Полимер, Подошва Полимер</t>
  </si>
  <si>
    <t>3027524-323</t>
  </si>
  <si>
    <t>UA PROJECT ROCK 7</t>
  </si>
  <si>
    <t>3027600-001</t>
  </si>
  <si>
    <t>Кроссовки Under Armour UA Project Rock 7 представляют собой идеальное сочетание инновационного дизайна и функциональности. Изготовленные из прочных текстильных и синтетических материалов, они обеспечивают превосходную вентиляцию, необходимую для интенсивных тренировок и активного образа жизни. Текстильная подкладка добавляет комфорта, обнимая стопу для максимальной поддержки. Резиновая подошва с надежным сцеплением гарантирует устойчивость на любых поверхностях, а классическая шнуровка позволяет удобно регулировать посадку. Эти кроссовки — часть легендарной линии Project Rock, символизирующей стремление к постоянному совершенствованию и преодолению любых преград.</t>
  </si>
  <si>
    <t>верх: 69% текстиль, 31% синт.материалы, подкладка: текстиль, подошва: 100% резина</t>
  </si>
  <si>
    <t>3027005-002</t>
  </si>
  <si>
    <t>верх: 89% текстиль, 11% синт.материалы, подошва: 80% резина, 20% ЭВА</t>
  </si>
  <si>
    <t>UA W Charged Aurora 2 +</t>
  </si>
  <si>
    <t>3025238-348</t>
  </si>
  <si>
    <t>Созданные для максимального количества повторений, они имеют усиление в средней части стопы, которое фиксирует и стабилизирует стопу в любом направлении, дышащие материалы и амортизацию для поглощения ударов. Созданы специально для женской стопы и имеют обтекаемую форму. Легкий, дышащий верх обеспечивает прохладу и сухость. Стратегические накладки из TPU обеспечивают стабильность, фиксацию и дополнительную прочность. Промежуточная подошва Charged Cushioning® изготовлена из пеноматериала, формованного под давлением, для максимальной отзывчивости и прочности.</t>
  </si>
  <si>
    <t>верх: 60% текстиль, 40% синт.материалы, подкладка: текстиль, подошва: 100% резина</t>
  </si>
  <si>
    <t>UA HOVR Phantom 3 Storm-GRY</t>
  </si>
  <si>
    <t>3025522-101</t>
  </si>
  <si>
    <t>В межсезонье нужно становиться лучше. Это означает много бега. Быстрые и эластичные кроссовки UA HOVR Phantom 3 помогут вам взорваться от интервала к интервалу благодаря еще более возвращающей энергию амортизации UA HOVR. Беги сейчас… побеждай позже.
Функции:
Обработанный верх с технологией UA Storm отталкивает воду, не жертвуя воздухопроницаемостью.
Формованная панель в средней части стопы для дополнительной структуры и мягкой внутренней амортизации
Трикотажный воротник для легкости посадки и ощущения мягкости, а также внешний задник для стабильной поддержки.
Сверхдышащая стелька SpeedForm 2.0 обеспечивает более мягкую поддержку стопы.
Отзывчивая амортизация UA HOVR снижает ударную нагрузку, возвращает энергию и помогает двигаться вперед.
Полная резиновая подошва со стратегическим рисунком для повышенного сцепления и долговечности
Светоотражающие детали для бега при слабом освещении
Падение: 9 мм
Вес: 315 г</t>
  </si>
  <si>
    <t>UA Charged Rogue 3</t>
  </si>
  <si>
    <t>3024877-105</t>
  </si>
  <si>
    <t>верх: 54% текстиль, 46% синтетический материал, подкладка: 100% полиэстер, подошва: 80% резина, 20% эва</t>
  </si>
  <si>
    <t>UA W Charged Pursuit 4</t>
  </si>
  <si>
    <t>3028261-002</t>
  </si>
  <si>
    <t>Верх из дышащей сетчатой ткани обеспечивает лёгкость и воздухопроницаемость
— Пенополимерная подкладка вокруг щиколотки и под язычком гарантирует исключительный комфорт при носке
— Мягкая стелька из пеноматериала повторяет форму стопы, обеспечивая дополнительный комфорт подошвы
— Промежуточная подошва Charged Cushioning® изготовлена из компрессионного пеноматериала для максимальной отдачи и долговечности
— Износостойкая подошва с протектором обеспечивает гибкость и надёжное сцепление с поверхностью</t>
  </si>
  <si>
    <t>UA HOVR Turbulence 2 RS</t>
  </si>
  <si>
    <t>3028751-452</t>
  </si>
  <si>
    <t>Бегунам на длинные дистанции нужно идеальное сочетание амортизации, упругости, долговечности и эффективности. И это именно то, что вы получаете с UA Turbulence — отзывчивая амортизация, плавный ход и мили комфорта.
Это универсальные мужские кроссовки для бега и тренировок, сочетающие амортизацию и комфорт на любой дистанции. Оснащены фирменной технологией UA HOVR™, обеспечивающей мягкий возврат энергии и снижение ударной нагрузки.
 Верх: легкая и дышащая сетка для отличной вентиляции
 Амортизация: технология UA HOVR™ для плавного и упругого шага смягчает удары, возвращает энергию, помогая вам двигаться вперед.
 Подошва: прочная резиновая с гибкими зонами для естественного движения стопы
 Внутренняя стелька: Стелька Deluxe Comfort System обеспечивает максимальный  комфорт при надевании
 Застежка: классическая шнуровка для надежной фиксации
 Логотипы: фирменные элементы Under Armour
Отличный выбор для тренировок, пробежек и активного повседневного использования.</t>
  </si>
  <si>
    <t>верх: 67% текстиль, 33% синт.материалы, подкладка: текстиль, подошва: 100% резина</t>
  </si>
  <si>
    <t>UA W HOVR Phantom NC</t>
  </si>
  <si>
    <t>3020976-004</t>
  </si>
  <si>
    <t>Технология UA HOVR обеспечивает ощущение невесомости и энергетическую амортизацию. Компрессионная сетка Energy Web дополняет пену UA HOVR и обеспечивает возврат энергии. Для бегунов, которым нужен баланс гибкости и амортизации. Верх из мягкого трикотажа быстро высыхает и обеспечивает воздухопроницаемость. Вентилируемая панель посередине повышает воздухопроницаемость. Уникальная конструкция язычка прикреплена к стельке с помощью эластичных крыльев, чтобы обеспечивать плотную посадку по всей ноге. Съемные противомикробные стельки Sockliner Ortholite для непревзойденного комфорта. Резина под передней частью ноги легкая, но невероятно отзывчивая. Высокоабразивная резина, расположенная под пяткой, предотвращает скольжение на любой поверхности. Перепад: 8 мм.</t>
  </si>
  <si>
    <t>60% Текстиль;30% Полиуретан;10% Пеноматериал</t>
  </si>
  <si>
    <t>UA Charged Edge</t>
  </si>
  <si>
    <t>3026727-010</t>
  </si>
  <si>
    <t>Under Armour UA Charged Edge-  Универсальные мужские кроссовки для зала и повседневной жизни.
Кроссовки Under Armour Charged Edge разработаны для спортсменов, которым необходим идеальный баланс гибкости и амортизации во время разнообразных тренировок как в зале, так и на улице. Эта модель обеспечивает исключительный комфорт и поддержку, помогая снизить ударную нагрузку при каждом шаге. 
Идеально подходят для широкого спектра тренировок в тренажерном зале, включая силовые упражнения, кардио, а также для повседневного использования и длительных прогулок.
 Промежуточная подошва из компрессионной формованной пены обеспечивает отзывчивую амортизацию, снижает ударное воздействие, возвращает энергию и гарантирует долговечность.Дышащий сетчатый верх с накладками из кожи и синтетических материалов обеспечивает вентиляцию, прочность и поддержку во время динамичных движений.Двухслойная стелька Ortholite для максимального комфорта при надевании.
 Прочная полноразмерная резиновая подошва с стратегическим рисунком обеспечивает отличное сцепление и маневренность на различных поверхностях.
Перепад (Offset): 8 мм.Материал: Верх преимущественно из текстиля, кожи и синтетических материалов; подошва из ЭВА и резины. 
На кроссовках Under Armour UA Charged Edge присутствует печатный логотип бренда, расположенный  на боковой части обуви.</t>
  </si>
  <si>
    <t>верх: нат.кожа, текстиль, иск.кожа; подкладка: текстиль; подошва: резина</t>
  </si>
  <si>
    <t>UA W HOVR Machina 3 Storm-BLK</t>
  </si>
  <si>
    <t>3025799-002</t>
  </si>
  <si>
    <t>UA HOVR Machina 3 — это больше, чем кроссовки. Да, это дает вам возврат энергии UA HOVR®,
Подходит для длительных и ежедневных пробежек под дождем с водоотталкивающим верхом и светоотражающими деталями.
Обработанный верх с технологией UA Storm отталкивает воду, не жертвуя воздухопроницаемостью.
Аэродинамический дизайн пятки для поддержки без лишних слоев или объема
3D-формованная стелька обхватывает вашу ногу для повышенного комфорта при ходьбе.
Отзывчивая амортизация UA HOVR снижает ударную нагрузку, возвращает энергию и помогает двигаться вперед.
Сочетание карбона и вспененной резины в подошве для стратегической прочности и легкого отскока.</t>
  </si>
  <si>
    <t>UA W Charged Rogue 3-WHT</t>
  </si>
  <si>
    <t>3024888-102</t>
  </si>
  <si>
    <t>белый/зеленый</t>
  </si>
  <si>
    <t>верх 54% текстиль, 46% синт.материалы, подошва 80% резина, 20% эва</t>
  </si>
  <si>
    <t>UA FLOW FUTR X 4</t>
  </si>
  <si>
    <t>3027639-003</t>
  </si>
  <si>
    <t>Under Armour UA FLOW FUTR X 4 — это кроссовки, в которых сочетаются инновационный дизайн и передовые технологии для максимального комфорта и производительности. Верх из текстиля и синтетических материалов обеспечивает легкость и отличную воздухопроницаемость, позволяя вашим ногам дышать даже в самые интенсивные моменты. Подошва из материала ЭВА гарантирует исключительную амортизацию, смягчая каждый шаг и обеспечивая поддержку при движении. Застежка на шнуровке обеспечивает индивидуальную посадку и надежную фиксацию. Эти кроссовки идеально подходят для спортивных занятий и активных дневных прогулок, предоставляя вам свободу движения и уверенность на каждом шагу.</t>
  </si>
  <si>
    <t>UA W Project Rock 7</t>
  </si>
  <si>
    <t>3027601-104</t>
  </si>
  <si>
    <t>Протестировано лично Дуэйном "Камнем" Джонсоном. Благодаря сверхточной посадке верха UA Clone, реактивной амортизации UA HOVR™ и технологии UA TriBase™, обеспечивающей максимальный контакт с поверхностью, модель PR7 создана для того, чтобы помогать вам преодолевать свои пределы.
UA Clone — верх обеспечивает идеальную посадку, расширяясь и сужаясь для безупречного комфорта и поддержки.
Единая конструкция языка и верха позволяет добиться уникальной, индивидуальной посадки без лишних швов.
Мягкая пена внутри манжеты обеспечивает максимальный комфорт, а перфорация на языке и верхе способствует воздухопроницаемости.
Внешний вставной TPU-контур пятки обеспечивает стабильность и фиксацию стопы, позволяя свободно двигаться в передней части стопы.
Амортизационная технология UA HOVR™ снижает ударные нагрузки, возвращает энергию и помогает продвигаться вперёд.
Перфорация в пене UA HOVR™ делает подошву более лёгкой.
UA TriBase™ увеличивает контакт с землёй, способствует естественному движению и обеспечивает гибкость при работе с весом.
Износостойкая резиновая подошва с защитным носком обеспечивает поддержку и защиту во время планок и других тренировок в формате HIIT.</t>
  </si>
  <si>
    <t>UA W BCL 4</t>
  </si>
  <si>
    <t>3027586-104</t>
  </si>
  <si>
    <t>Верх из гладкой вязки для обеспечения эластичности, фиксации и воздухопроницаемости там, где это необходимо. Стелька из EVA обеспечивает дополнительную упругость и эластичность при каждом шаге. Более мягкая и легкая цельная промежуточная подошва Flow обеспечивает отзывчивую и длительную амортизацию. Технология Flow исключает необходимость использования резиновой подошвы, обеспечивая более легкое и плавное движение по любой поверхности. Рисунок подошвы сверхпрочный и цепкий для плавного, естественного приземления.</t>
  </si>
  <si>
    <t>UA Charged Impulse 3 Knit</t>
  </si>
  <si>
    <t>3026682-102</t>
  </si>
  <si>
    <t>Беговые кроссовки Under Armour Charged Impulse 3 Knit - это легкие и гибкие кроссовки с отличной воздухопроницаемостью. Данная обувь создана для бегунов, которым нужен баланс гибкости и амортизации.
Текстильный верх для более лучшего прилегания и увеличения вентиляции
Стелька обеспечивает дополнительную амортизацию
Двухслойная промежуточная подошва Charged Cushioning жестче у пятки и мягче в передней части стопы для сочетания поддержки и комфорта
Высокоабразивная резина на пятке и носке для долговечности и надежного сцепления с любой поверхностью
Анатомически расположенные глубокие изогнутые канавки для большей гибкости в ключевых областях</t>
  </si>
  <si>
    <t>верх: 63% текстиль, 37% синтетика, подкладка: текстиль, подошва: резина</t>
  </si>
  <si>
    <t>UA Charged Rogue 4</t>
  </si>
  <si>
    <t>3026998-001</t>
  </si>
  <si>
    <t>Откройте для себя новую эру тренировок с кроссовками UA Charged Rogue 4 от Under Armour – где каждый шаг заряжен энергией, а каждый бег превращается в невероятное приключение. Каждый элемент этих кроссовок сконструирован с тщательной точностью, чтобы соответствовать высоким требованиям атлетов всех уровней. Инновационная подошва Charged Cushioning® обеспечивает идеальный баланс между поддержкой и гибкостью, поглощая ударные нагрузки и превращая их в отдачу энергии для вашего следующего шага. Сетчатый верх кроссовок дополнен надежными синтетическими накладками, которые добавляют долговечности и структуры, не жертвуя при этом воздухопроницаемостью. Ваша нога будет ощущать прохладу и комфорт, даже когда тренировка переходит в разряд высокоинтенсивных. Дизайн UA Charged Rogue 4 поражает своим обтекаемым силуэтом, подчеркнутым акцентами ярких цветов и узнаваемым логотипом Under Armour, делая вас стильным как на дорожке, так и за ее пределами. Поддерживающая пятка и язычок на липучке гарантируют, что ваша стопа будет ощущать надежную фиксацию при любой активности. UA Charged Rogue 4 оснащены мягкой вставкой на внутренней части кроссовка и удобной стелькой, которая адаптируется к форме вашей стопы, обеспечивая индивидуальное прилегание. Продуманная конструкция осевой зоны способствует более эффективным поворотам и переносам веса, делая каждое движение максимально точным. Независимо от того, отправляетесь ли вы на длительный бег, интенсивный кросс-тренинг или повседневную ходьбу, c UA Charged Rogue 4 вы всегда будете находиться на шаг впереди. Новейшие технологии Under Armour вступают в симбиоз с изысканным дизайном, чтобы дать вам ту преимущество, которая приведет к новым личным рекордам и достижениям.</t>
  </si>
  <si>
    <t>6001585-002</t>
  </si>
  <si>
    <t>Кроссовки UA Jet созданы для тех, кто стремится к максимальной производительности как на спортивной площадке, так и за её пределами. Эти кроссовки оснащены промежуточной подошвой Micro G®, которая обеспечивает превосходную амортизацию для комфорта и поддержки при каждом шаге. Верх из комбинированных материалов гарантирует прочность и отличную воздухопроницаемость в ключевых зонах, обеспечивая оптимальные условия для тренировок. Мягкий бортик надёжно фиксирует пятку, добавляя комфорта при носке. Прочная резиновая подошва обеспечивает отличное сцепление и эффективность, будь то на корте или на улице. Эти кроссовки не только функциональны, но и стильно выглядят, что делает их универсальным выбором для активного образа жизни.</t>
  </si>
  <si>
    <t>UA HOVR Phantom 3 SE-BLK</t>
  </si>
  <si>
    <t>3026582-003</t>
  </si>
  <si>
    <t>черный, серый, белый</t>
  </si>
  <si>
    <t>UA Infinite Pro 2</t>
  </si>
  <si>
    <t>3028168-348</t>
  </si>
  <si>
    <t>Тренируете выносливость? UA Infinite Pro обеспечивает идеальную поддержку и новую, упругую амортизацию UA HOVR+, которая помогает сохранять свежесть в ногах. Поэтому, когда тренер скажет: "Продолжайте бежать", именно вы будете задавать темп.
Легкий сетчатый верх из технологичного материала для воздухопроницаемости и комфорта даже на самых длинных пробежках.
Мягкая окантовка ворота и язычок для улучшенной посадки и комфорта.
Дизайн пятки обеспечивает мягкую посадку, снижает ударную нагрузку и повышает общую стабильность.
Особо упругая амортизация UA HOVR+ уменьшает воздействие, возвращает энергию и помогает двигаться вперед.
Двухкомпонентная промежуточная подошва с легким пеноматериалом EVA для мягких приземлений и дополнительной устойчивости.
Резиновая подошва разработана для обеспечения долговечности и легкой отдачи там, где это необходимо.
UA Infinite Pro — кроссовки, которые поддерживают ваши амбиции и делают каждую тренировку комфортнее.</t>
  </si>
  <si>
    <t>верх: 86% текстиль, 14% синт.материалы, подкладка: текстиль, подошва: 100% резина</t>
  </si>
  <si>
    <t>UA Charged Pursuit 3 BL</t>
  </si>
  <si>
    <t>3026518-102</t>
  </si>
  <si>
    <t>Откройте для себя динамику и энергию с кроссовками UA Charged Pursuit 3 BL – идеальное решение для тех, кто ищет идеальное сочетание стиля, комфорта и производительности.
UA Charged Pursuit 3 BL – это больше, чем кроссовки. Они созданы, чтобы вдохновлять и мотивировать вас двигаться вперед с каждым шагом. С инновационной амортизирующей технологией Charged Cushioning, эти кроссовки адаптируются к вашему стилю бега и образу жизни, предоставляя идеальный баланс упругости и поддержки.
Стильный и минималистичный дизайн подчеркивает современный подход Under Armour к созданию обуви, в которой красота соединяется с функциональностью. Сетчатый верх обеспечивает исключительную дышащую способность, оставляя ваши ноги свежими и сухими даже в самые интенсивные дни.
Невесомый комфорт в сочетании с легкой но стабильной платформой делает эту модель оптимальной для занятий разнородными видами тренировок – от спортзала до улиц, от легкой пробежки до интенсивного кросс-тренинга.
Подошва с рельефным рисунком и высокопрочной резиновой вставкой гарантирует великолепное сцепление и износостойкость, позволяя вам смело шагать вперед без оглядки на износ или скользкие поверхности.
Кроссовки UA Charged Pursuit 3 BL – это символ того, что вы не останавливаетесь на достигнутом. Они разработаны для активных людей, которые стремятся к превосходству и нуждаются в обуви, способной идти в ногу со своими амбициями.
Выбирайте UA Charged Pursuit 3 BL – и станьте свидетелями того, как технологии Under Armour помогают вам преодолеть стереотипы и достичь новых вершин в вашем активном образе жизни.</t>
  </si>
  <si>
    <t>верх текстиль, подкладка текстиль, подошва 70% резина, 30% этиленвинилацетат (ЭВА)</t>
  </si>
  <si>
    <t>UA W HOVR Sonic 4 Storm</t>
  </si>
  <si>
    <t>3024234-001</t>
  </si>
  <si>
    <t>Кроссовки, созданные специально для бега на длинные дистанции, которые отличаются прекрасной гибкостью и оптимальной амортизацией. UA HOVR  Sonic 4 Colorshift оснащены сенсором Record Sensor и могут выступать в качестве "тренера", если подключить их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В передней части подошвы используется мягкая выдувная резина, в задней – более жесткая, благодаря чему повышается износостойкость кроссовок. Язычок крепится к съемной стельке с помощью растягивающихся опорных крыльев, чтобы обеспечить максимально плотное прилегание к ноге. Цельная конструкция пятки с внешним задником из ТПУ (термопластичного полиуретана) создает дополнительную поддержку. Верх кроссовок выполнен из сверхлегкой сетки, которая улучшает воздухопроницаемость и влагообмен и обеспечивает надежную поддержку стопы, что особенно важно при беге на длинные дистанции.</t>
  </si>
  <si>
    <t>UA CHARGED MAVEN TRAIL</t>
  </si>
  <si>
    <t>3026136-602</t>
  </si>
  <si>
    <t>Кроссовки для трейлраннинга Under Armour Charged Maven Trail предлагают отличное сочетание легкости, воздухопроницаемости и прочности. Они разработаны специально для бега на тропах и других неровных поверхностях. Имеют удобную и поддерживающую посадку, чтобы обеспечить стабильность и защиту стопы во время бега. Они также легкие и гибкие, что позволяет естественно двигаться и адаптироваться к неровностям трассы.</t>
  </si>
  <si>
    <t>верх: 53% синт.материалы, 47% текстиль, подошва резина</t>
  </si>
  <si>
    <t>UA Infinite Pro Cool Down</t>
  </si>
  <si>
    <t>3027187-200</t>
  </si>
  <si>
    <t>Кроссовки UA Infinite Pro Cool Down – это высокотехнологичное решение для тех, кто стремится к максимальному комфорту и эффективному восстановлению после интенсивных тренировок. Эти кроссовки объединяют инновационные материалы и передовые технологии, чтобы обеспечить вам непревзойденное удобство и прохладу во время активного отдыха.
- Материал и вентиляция: Верх кроссовок выполнен из высококачественного и дышащего текстиля, обеспечивающего отличную вентиляцию и поддерживающего оптимальную температуру ног. Благодаря использованию сетчатых вставок, обувь обеспечивает усиленный приток воздуха и предотвращает перегрев даже при длительном ношении.
- Амортизация и комфорт: Подошва с амортизацией UA HOVR™ обеспечивает мягкость и поддержку при каждом шаге, эффективно снижая ударные нагрузки и создавая ощущение легкости. Специально разработанная промежуточная подошва помогает поддерживать естественные движения стопы, предлагая непревзойденный комфорт во время отдыха и восстановления.
- Подошва и сцепление: Резиновая подошва с уникальным рисунком протектора обеспечивает надежное сцепление с различными поверхностями, обеспечивая безопасность и уверенность в каждом шаге как на улице, так и внутри помещений. Гибкость и долговечность подошвы делают эти кроссовки идеальным выбором для восстановления после тренировок и повседневного использования.
- Комфортная посадка: Мягкий внутренний слой кроссовок обеспечивает комфортное прилегание к ноге, предотвращая натирание и дискомфорт. Система быстрого шнуровки позволяет легко и быстро подстраивать шнурки под индивидуальные потребности, обеспечивая плотную посадку без лишнего давления.
- Дизайн и стиль: Лаконичный и современный дизайн кроссовок UA Infinite Pro Cool Down подчеркивает ваш стиль и уверенность. Кроссовки легко сочетаются с различными элементами спортивной и повседневной одежды, добавляя нотку элегантности и функциональности.
- Функциональность: Эти кроссовки идеальны для активного восстановления после тренировок, прогулок, легких пробежек и повседневного использования. Они помогут вам оставаться в движении, обеспечивая комфорт и поддержку в каждом шаге.
Кроссовки UA Infinite Pro Cool Down – это ваш идеальный выбор для восстановления и повседневной активности. Наденьте их и наслаждайтесь максимальным комфортом и прохладой, заслуженным отдыхом ваших ног, и продолжайте двигаться к новым целям и достижениям!</t>
  </si>
  <si>
    <t>UA Charged Pursuit 4</t>
  </si>
  <si>
    <t>3028254-002</t>
  </si>
  <si>
    <t>Кроссовки Under Armour Charged Pursuit 4 специально разработаны для мужчин, которые ценят комфорт и производительность во время фитнес-занятий. Верх выполнен из 81% текстиля и 19% синтетических материалов, что обеспечивает легкость и оптимальную воздухопроницаемость, позволяя ногам дышать даже при интенсивных нагрузках. Текстильная подкладка создаёт мягкость и комфорт, предотвращая натирания. Подошва из 100% резины гарантирует превосходное сцепление с любыми поверхностями, обеспечивая уверенность на каждом шагу. Шнуровка позволяет адаптировать посадку для идеальной фиксации. Эти кроссовки сочетают в себе стильный дизайн и передовые технологии, делая тренировки более эффективными.</t>
  </si>
  <si>
    <t>UA HOVR Machina 2 SE-BLK</t>
  </si>
  <si>
    <t>3024738-001</t>
  </si>
  <si>
    <t>Мы взяли нашу удивительную амортизирующую подушку UA HOVR, возвращающую энергию от бега и использовали ее в тренировочном снаряжении. Это означает, что каждая бёрпи, каждое упражнение по лестнице, каждый прыжок на ящик, каждое движение становится более взрывным. Технология UA HOVR обеспечивает "невесомость" для поддержания возврата энергии. Пена UA HOVR содержится в более прочной межподошве из этиленвинилацетата, обеспечивая идеальное сочетание комфорта. Легкий износостойкий сетчатый верх с 3D-принтом, прочный и дышащий для любых тренировок. Эластичная конструкция ботинка для легкого надевания и снятия. Внешний ремешок помогает зафиксировать ногу на месте. UA TriBase увеличивает контакт с землей, способствует естественному движению и обеспечивает гибкость во время подъема. Полностью резиновая подошва для улучшения сцепления во всех направлениях и долговечности.</t>
  </si>
  <si>
    <t>70% текстиль, 30% синтетический материал</t>
  </si>
  <si>
    <t>UA Charged Valsetz WP Zip</t>
  </si>
  <si>
    <t>3027679-001</t>
  </si>
  <si>
    <t>Under Armour UA Charged Valsetz WP Zip — это прочные и лёгкие тактические ботинки, созданные для надёжности и комфорта в любых условиях.
Особенности модели:
Водонепроницаемая мембрана защищает ноги от влаги и дождя.
Удобная боковая молния и петли на пятке и язычке позволяют быстро надевать и снимать ботинки.
Амортизирующая подошва Charged Cushioning® смягчает каждый шаг и снижает нагрузку на стопу.&lt;br&gt; Формованные стельки Contoura® Support с амортизирующим пеноматериалом для предотвращения усталости. 
Прочный и лёгкий верх из синтетических материалов с усилениями в зонах износа.
Противоскользящая подошва Vibram XS Trek обеспечивает отзывчивость на различных поверхностях благодаря высокой гибкости и сцеплению с мокрой поверхностью. 
Высокий профиль поддерживает голеностоп и добавляет устойчивости.
Назначение: тактическая обувь для повседневной носки, работы на улице, тренировок или активного отдыха.</t>
  </si>
  <si>
    <t>верх: нат.кожа, текстиль, иск.кожа; подкладка: текстиль; подошва: резина</t>
  </si>
  <si>
    <t>UA Surge 3</t>
  </si>
  <si>
    <t>3024883-110</t>
  </si>
  <si>
    <t>Беговые кроссовки Under Armour Surge 3 созданы для бегунов, которым нужен баланс гибкости и амортизации. Данная обувь выполнена из сетчатого текстиля. Сетчатый верх для более лучшего прилегания. Внутренняя отделка выполнена из текстиля. Стелька из EVA обеспечивает комфорт. Усиленный задник для дополнительной поддержки. Промежуточная подошва из EVA для амртизации без утяжеления. Глубокие гибкие канавки для дополнительной гибкости. Резиновые накладки в стратегически расположенных местах для износостойкости.</t>
  </si>
  <si>
    <t>верх: 52% синтетический материал, 48% текстиль, подкладка: текстиль, подошва: резина</t>
  </si>
  <si>
    <t>3024889-100</t>
  </si>
  <si>
    <t>UA Charged Speed Swift</t>
  </si>
  <si>
    <t>3026999-348</t>
  </si>
  <si>
    <t>Откройте для себя динамику и комфорт с кроссовками Under Armour Charged Speed Swift. Эта модель создана для тех, кто ценит скорость и легкость в каждом шаге. Инновационная технология Charged Cushioning обеспечивает оптимальное смягчение ударов и выдающееся возвращение энергии, давая вам то преимущество, которое нужно для ускорения. Сетчатый верх обеспечивает вентиляцию и поддержку там, где это наиболее необходимо, а внешний каркас из синтетических материалов гарантирует дополнительную стабильность. Анатомическое размещение резиновых подушек на подошве улучшает ударопоглощение и обеспечивает превосходное сцепление на любой поверхности. Стильные и функциональные, созданные для повседневного использования и тренировок, кроссовки Charged Speed Swift обладают универсальностью и долговечностью. Легковесность конструкции гарантирует, что ваши ноги не будут чувствовать усталости, даже проводя в них весь день. Выбирайте Under Armour Charged Speed Swift для энергичного старта и преодоления любых дистанций с комфортом!</t>
  </si>
  <si>
    <t>UA BGS Turbulence 3</t>
  </si>
  <si>
    <t>6011025-001</t>
  </si>
  <si>
    <t>Бегунам на длинные дистанции нужна идеальная комбинация амортизации, упругости, долговечности и эффективности. И именно это вы получаете с UA Turbulence: отзывчивая амортизация, плавный ход и комфорт на протяжении многих миль.
Двухслойный верх из специально разработанной инженерной сетки обеспечивает объёмную структуру и воздухопроницаемость
Плюшевый стелечный вкладыш (sockliner) сохраняет форму для комфорта в течение всего дня
Промежуточная подошва с амортизацией Charged+ обеспечивает непревзойдённую мягкость и комфорт, возвращая энергию для поддержки на длинных дистанциях
Износостойкая резиновая внешняя подошва обеспечивает надёжное сцепление и долговечность, сохраняя гибкость для эффективного отталкивания носком</t>
  </si>
  <si>
    <t>черный/белый</t>
  </si>
  <si>
    <t>4,5</t>
  </si>
  <si>
    <t>6011025-003</t>
  </si>
  <si>
    <t>6011025-389</t>
  </si>
  <si>
    <t>зеленый/голубой</t>
  </si>
  <si>
    <t>UA GGS Turbulence 3</t>
  </si>
  <si>
    <t>6011026-001</t>
  </si>
  <si>
    <t>Бегунам на длинные дистанции нужна идеальная комбинация амортизации, упругости, долговечности и эффективности. И именно это вы получаете с UA Turbulence: отзывчивая амортизация, плавный ход и комфорт на протяжении многих миль.
Двухслойный верх из специально разработанной инженерной сетки обеспечивает объёмную структуру и воздухопроницаемость
Плюшевый стелечный вкладыш сохраняет форму для комфорта в течение всего дня
Промежуточная подошва с амортизацией Charged+ обеспечивает непревзойдённую мягкость и комфорт, возвращая энергию для поддержки на длинных дистанциях
Износостойкая резиновая внешняя подошва обеспечивает надёжное сцепление и долговечность, сохраняя гибкость для эффективного отталкивания носком</t>
  </si>
  <si>
    <t>черный/розовый</t>
  </si>
  <si>
    <t>3025060-502</t>
  </si>
  <si>
    <t>верх: 60% текстиль, 40% синтетический материал, подошва: 100% резина</t>
  </si>
  <si>
    <t>3025060-604</t>
  </si>
  <si>
    <t>Верх: 60% текстиль, 40% синтетический материал~Подошва: 100% резина</t>
  </si>
  <si>
    <t>UA CHARGED PURSUIT 3 TECH</t>
  </si>
  <si>
    <t>3025424-104</t>
  </si>
  <si>
    <t>Кроссовки Under Armour Ua Charged Pursuit 3 Tech. Легкие и гибкие - вот что здесь главное. Много сетки для воздухопроницаемости и Charged Cushioning для защиты от ударов. Просто наденьте их и бегите за километры.  Верх из высокоэффективной сетки для легкости и воздухопроницаемости Прокладка из пеноматериала, расположенная вокруг воротника лодыжки и под языком для невероятно удобной посадки и ощущения. Роскошная стелька из пеноматериала повторяет форму стопы, обеспечивая дополнительный комфорт. В промежуточной подошве Charged Cushioning используется прессованная пена для максимальной отзывчивости и долговечности. Прочный рисунок подошвы для гибкости и сцепления.</t>
  </si>
  <si>
    <t>серый, синий</t>
  </si>
  <si>
    <t>верх 86% текстиль, 14% синтетика, подкладка текстиль, подошва резина</t>
  </si>
  <si>
    <t>UA W Showstopper</t>
  </si>
  <si>
    <t>1296199-001</t>
  </si>
  <si>
    <t>Кроссовки Under Armour Showstopper выполнены из технологичного текстиля. Threadborne  - прочный и воздухопроницаемый текстильный материал верха. Волокна Dyneema обеспечивают изделию прочность, износоустойчивость и невероятную гибкость. Промежуточная подошва из EVA помогает стабилизировать стопу, обеспечивая уверенный контроль при ходьбе и беге.</t>
  </si>
  <si>
    <t>3024889-111</t>
  </si>
  <si>
    <t>3027006-014</t>
  </si>
  <si>
    <t>3024877-101</t>
  </si>
  <si>
    <t>UA Charged Commit TR 3</t>
  </si>
  <si>
    <t>3023703-005</t>
  </si>
  <si>
    <t>Это серьезные кроссовки для тренировок. Кожа в верхней части стопы обеспечивает устойчивость, гибкие канавки в нижней части позволяют двигаться, а амортизация Charged Cushioning обеспечивает максимальное поглощение ударов. Все, что вам нужно делать, это работать. Легкий сетчатый верх с текстурированными накладными деталями обеспечивает необходимую воздухопроницаемость. Специальная технология поддержки пятки обеспечивает дополнительную устойчивост. Полностью резиновая подошва со стратегически расположенными гибкими канавками для сцепления на разных поверхностях и гибкости. Перепад: 8 мм. Средний вес кроссовка 300 грамм.</t>
  </si>
  <si>
    <t>верх: 51% текстиль, 41% кожа, 8% синтетика, подкладка: текстиль, подошва: резина</t>
  </si>
  <si>
    <t>UA W TriBase Reign 4</t>
  </si>
  <si>
    <t>3025053-001</t>
  </si>
  <si>
    <t>Кроссовки выполнены из искусственной сетки с трикотажной конструкцией ботинок и накладками для дополнительной прочности и устойчивости к истиранию. Внешняя стойка для пятки для дополнительной устойчивости с гребневой конструкцией для сцепления во время отжиманий в стойке на голове. Специальная зональная гибкость и сцепление в передней части стопы обеспечивает большую мобильность и дополнительное сцепление. Полноразмерная межподошва из пеноматериала Micro G для максимальной отзывчивой амортизации. UA TriBase  увеличивает контакт с землей, способствует естественному движению и обеспечивает гибкость захвата во время подъема. Полностью резиновая подошва обхватывает стороны для прочности и дополнительной устойчивости к истиранию за счет внутреннего троса. Стратегическая резиновая вставка под носком для более надежного сцепления с полом. Низкая к земле конструкция обеспечивает лучшее ощущение и передачу энергии.</t>
  </si>
  <si>
    <t>UA TriBase. Технология кроссовок для тренировок в зале для лучшего сцепления, стабильности. Обеспечивает максимальный контроль над опорной поверхностью благодаря трем точкам контакта.  Широкая средняя часть кроссовка, эластичные задник и язычок обеспечивают надежную фиксацию. Дышащая ткань с упрочненной структурой плетения волокон и высота ботинка защищают ногу во время упражнений.</t>
  </si>
  <si>
    <t>Верх: 84% текстиль, 16% синтетический материал~Подошва: 100% резина</t>
  </si>
  <si>
    <t>UA Charged Engage 2</t>
  </si>
  <si>
    <t>3025527-602</t>
  </si>
  <si>
    <t>Кроссовки Under Armour UA Charged Engage 2 - это идеальный выбор для занятий спортом и активного образа жизни. Их удобная и гибкая конструкция обеспечивает максимальную поддержку и комфорт во время тренировок. Эти кроссовки оснащены технологией Charged Cushioning в подошве, которая адаптируется к каждому шагу, а также обеспечивает амортизацию и ускоряет возврат энергии. Верх кроссовок выполнен из легкого и дышащего материала для улучшенной циркуляции воздуха, что помогает сохранять ноги сухими и комфортными. Кроссовки Under Armour UA Charged Engage 2 - это идеальный выбор для тех, кто ищет надежную поддержку и комфорт во время тренировок и повседневных занятий.</t>
  </si>
  <si>
    <t>верх: 72% текстиль, 28% синтетический материал, подкладка: текстиль, подошва: резина</t>
  </si>
  <si>
    <t>UA Charged Revitalize</t>
  </si>
  <si>
    <t>3026679-401</t>
  </si>
  <si>
    <t>Мужские кроссовки UA Charged Revitalize. Технология Charged Cushioning® была разработана для защиты от ударов, ощущения мягкости и при этом отзывчивости.
Легкий текстильный верх дышащий и прочный.
Стелька с системой комфорта Deluxe повторяет форму вашей стопы, обеспечивая максимальный комфорт под ногами.
Межподошва Charged Cushioning® отзывчива и долговечна, обеспечивая оптимальную отдачу энергии и комфорт в течение всего дня.
Прочная резиновая подошва со стратегическим рисунком для сцепления и гибкости там, где это необходимо.</t>
  </si>
  <si>
    <t>верх: 91% текстиль, 9% синт.материалы, подкладка: текстиль, подошва: 100% резина</t>
  </si>
  <si>
    <t>3026998-100</t>
  </si>
  <si>
    <t>UA Edge LTHR</t>
  </si>
  <si>
    <t>3028375-378</t>
  </si>
  <si>
    <t>Under Armour UA Edge LTHR объединяет стиль и технологии в одном. Кроссовки с верхом из натуральной кожи и синтетических материалов не только долговечны, но и элегантны. Они предоставляют комфорт и уверенность при движении, делая их отличным выбором для городской среды и повседневной активности. Верх из натуральной кожи и синтетических материалов обеспечивает прочность и элегантный вид, идеально подходящий для городских условий.
- Текстильная подкладка сохраняет комфорт при длительной носке, предотвращая натирания и гарантируя мягкость.
- Сцепление резиновой подошвы превосходно справляется с разнообразными поверхностями, повышая устойчивость и стабильность.
- Регулируемая шнуровка позволяет персонализировать посадку для надежной фиксации стопы, повышая уверенность при ходьбе или беге.
- Легкий вес и прочная конструкция делают их удобными для повседневного использования и интенсивных прогулок.
- Эти кроссовки — отличное сочетание качества и стиля, созданы для тех, кто ценит внимание к деталям.</t>
  </si>
  <si>
    <t>верх: кожа, текстиль, иск.кожа; подкладка: текстиль; подошва: резина</t>
  </si>
  <si>
    <t>UA HOVR Turbulence 2</t>
  </si>
  <si>
    <t>3026520-004</t>
  </si>
  <si>
    <t>UA HOVR Turbulence 2 - это лидер среди обуви для бега. Они предлагают удивительное сочетание комфорта, поддержки и стиля, чтобы помочь вам достичь новых высот в вашей тренировке. имеют прочный и легкий верх, который обеспечивает поддержку и вентиляцию во время тренировки. Материал верха также обладает влагоотводящими свойствами, чтобы сохранить ваши ноги сухими и комфортными даже в самые интенсивные тренировки. Имеют стильный и современный внешний вид, который подойдет для любого спортивного наряда.
- Легкий сетчатый верх обеспечивает необходимый уровень воздухопроницаемости.
- Классическая шнуровка позволяет индивидуально регулировать обувь.
- Текстильная внутрення часть создаёт удобство для стопы и облегчает поддерживание обуви в чистоте.
- Двухслойная стелька из пенки Deluxe прилегает к стопе, обеспечивая индивидуальное прилегания.
- Технология UA HOVR эффективно снижает силу удара стопы о землю. Система амортизации возвращает энергию, затраченную на движение, что повышает эффективность во время занятий.
- Резиновая рифленая подошва долговечна и обеспечивает хорошее сцепление.</t>
  </si>
  <si>
    <t>верх: 76% текстиль, 24% синтетическое волокно, подкладка: текстиль, подошва: резина</t>
  </si>
  <si>
    <t>3026998-104</t>
  </si>
  <si>
    <t>Кроссовки UA Charged Rogue 4 от Under Armour — это инновационный выбор для тех, кто ценит комфорт и производительность. Благодаря применению передовых технологий и материалов, каждый элемент данных кроссовок рассчитан на многократное выполнение поставленных задач. Верх из комбинации кожи, текстиля и полиэстера обеспечивает как поддержку, так и воздухообмен внутри кроссовка во время интенсивных занятий. 
- Инновационная технология Charged Cushioning перераспределяет ударные нагрузки, превращая каждое движение в энергию, что особенно важно для долгих тренировок.
- Сетчатый верх с синтетическими накладками обеспечивает отличную вентиляцию и долговечность без ущерба для надежной фиксации стопы.
- Удобная внутренняя стелька принимает форму стопы, создавая идеальную подгонку и комфорт для продолжительного ношения.
- Обтекаемый силуэт и яркие акценты подчеркивают дизайн, добавляя эстетики спортивному образу и уверенности на тренировках.
- Усиленная пятка гарантирует надежную фиксацию и защиту, обеспечивая безопасность и уверенность даже при самых интенсивных нагрузках.
- Продуманная конструкция подметки способствует эффективным поворотам и переходу веса, минимизируя риск травм и повышая точность движений.</t>
  </si>
  <si>
    <t>белый/синий</t>
  </si>
  <si>
    <t>3027206-001</t>
  </si>
  <si>
    <t>UA W Edge SUEDE</t>
  </si>
  <si>
    <t>6003014-014</t>
  </si>
  <si>
    <t>Эти кроссовки созданы для тренировок как в зале, так и вне его. Технология Charged Cushioning® защищает от ударных нагрузок, вставки из замши обеспечивают устойчивую посадку, а верх из сетчатой ткани — лёгкий и дышащий.
Дышащий верх из сетки с накладками из замши обеспечивает прочность и стабильность во время динамичных движений  
Двухслойная стелька Ortholite гарантирует максимальный комфорт при первом же шаге  
Промежуточная подошва Charged Cushioning® изготовлена из компрессионного пеноматериала для высокой отдачи и долговечности  
Износостойкая подошва из цельной резинына с продуманным протектором обеспечивает надёжное сцепление и удобство при поворотах</t>
  </si>
  <si>
    <t>верх: нат. кожа, текстиль, иск. кожа; подкладка: текстиль; подошва: резина</t>
  </si>
  <si>
    <t>UA Spawn 6 Mid</t>
  </si>
  <si>
    <t>3027647-001</t>
  </si>
  <si>
    <t>Кроссовки UA Spawn 6 Mid созданы для универсальных баскетболистов, обеспечивая превосходное сцепление и поддержку на площадке. Верх из текстиля и синтетических материалов гарантирует легкость и прочность, а инновационные технологии подарят комфорт и уверенность на корте. Легкий верх из сетки и накладки из TPU обеспечивают вентиляцию и долговечность, что идеально для долгих игр.
- Текстильная формованная пятка стабилизирует лодыжку и пятку, снижая риск травм и повышая уверенность в движениях.
- Открытопористая стелька из пенопласта обеспечивает стопе максимальный комфорт и амортизацию, поддерживая естественный шаг.
- Промежуточная подошва с технологией UA Micro G обеспечивает полный контроль на корте, улучшая маневренность и скорость.
- Закругленная конструкция подошвы и адаптивный рисунок сцепления повышают сцепление и позволяют быстро менять направление.
- Солидная резиновая подошва гарантирует долговечность и надежное сцепление с поверхностью для различных условий игры.</t>
  </si>
  <si>
    <t>верх: 90% текстиль, 10% синт.материалы, подкладка: текстиль, подошва: 100% резина</t>
  </si>
  <si>
    <t>3027777-102</t>
  </si>
  <si>
    <t>UA Charged Maven Trail-BLU</t>
  </si>
  <si>
    <t>3026136-401</t>
  </si>
  <si>
    <t>синий/красный</t>
  </si>
  <si>
    <t>верх 53% синт.материалы, 47% текстиль, подошва резина</t>
  </si>
  <si>
    <t>UA Charged Surge 4</t>
  </si>
  <si>
    <t>3027000-289</t>
  </si>
  <si>
    <t>Обновите свой бег с Under Armour Charged Surge 4 – кроссовки, которые идеально сочетают в себе стиль и функциональность. Передовые технологии и современный дизайн вместе создают динамичную обувь для активных людей, направленную на достижение максимального комфорта и производительности. С сердцем, которое бьется в ритме высококачественной Charged Cushioning, эти кроссовки обеспечивают феноменальное смягчение приземления и беспараллельное возвращение энергии с каждым вашим шагом. Дышащий сетчатый верх не только поддерживает оптимальный климат для ваших стоп, но и придает обуви неповторимый вид, отличающийся сдержанной элегантностью. Рассчитанные на постоянные тренировки, Charged Surge 4 поддерживают ногу, где это нужно больше всего, благодаря легкому, но прочному каркасу. Эластичные ребра на подошве расширяют зону контакта с землей, улучшая тягу и стабильность. Мягкая вставка на пятке и манжет на лодыжке обеспечивают удобную фиксацию и снижают вероятность травм. Элегантный силуэт и отточенные линии подчеркивают динамичный образ и дарят уверенность в каждом движении. Выбор Under Armour Charged Surge 4 – это выбор в пользу непревзойденного удобства и мощного впечатления, заряжающего ваш бег новой энергией!</t>
  </si>
  <si>
    <t>3027000-410</t>
  </si>
  <si>
    <t>верх: текстиль, иск. кожа; подкладка: текстиль; подошва: резина</t>
  </si>
  <si>
    <t>UA W HOVR Machina 3</t>
  </si>
  <si>
    <t>3024907-001</t>
  </si>
  <si>
    <t>UA W HOVR Machina 3 - это кроссовки, которые не только обеспечивают комфорт и поддерживают стопу во время бега, но и превращают каждый шаг в опытная, тренировочную сессию. Благодаря технологии HOVR, вы будете испытывать ощущение легкости и свободы движения, а инновационная система Record Sensor поможет оптимизировать вашу тренировку и фиксировать все ее составляющие - скорость, дистанцию и даже время контакта стопы с поверхностью. А лаконичный дизайн кроссовок UA W HOVR Machina 3, сделанный в спортивном стиле, позволит подчеркнуть ваш стиль и демонстрировать свой успех в спорте. Почувствуйте настоящую мощность спорта с UA W HOVR Machina 3!</t>
  </si>
  <si>
    <t>верх: 82% текстиль, 18% синт.материалы~подошва: 62% резина, 38% эва</t>
  </si>
  <si>
    <t>UA TriBase Reign 5-BLK</t>
  </si>
  <si>
    <t>3026021-001</t>
  </si>
  <si>
    <t>Кроссовки Under Armour TriBase Reign 5 Training Shoes выполнены из текстиля для легкости и воздухопроницаемости. Данная обувь обеспечивает максимальное сцепление с опорной поверхностью, благодаря технологии TriBase - трем точкам контакта, обеспечивающим уверенную и устойчивую опору. Верх выполнен из воздухопроницаемого текстиля. Анатомический верх Warp надежно фиксирует стопу, не натирает и не сдавливает ногу. Синтетические накладки для дополнительной поддержки и прочности. Внутренний усиленный задник для дополнительной поддержки стопы. Полноразмерная промежуточная подошва Micro G для максимальной амортизации. Подошва из резины для большей прочности и дополнительной устойчивости к истиранию.</t>
  </si>
  <si>
    <t>верх: 85% текстиль, 15% синтетика, подкладка: текстиль, подошва: резина</t>
  </si>
  <si>
    <t>UA W Infinite Pro</t>
  </si>
  <si>
    <t>3027200-001</t>
  </si>
  <si>
    <t>UA W Infinite Pro — это кроссовки, созданные для тех, кто ценит высокую производительность и долговечность обуви. Эти кроссовки идеально подойдут для серьёзных бегунов, ищущих устойчивую и комфортную обувь для долгих дистанций. Верхняя часть выполнена из дышащей сетки с нанесёнными на неё усилениями, что обеспечивает превосходную вентиляцию и поддержку стопы. Подошва со встроенной технологией HOVR™ обеспечивает невероятный уровень энерговозвращения и амортизации, позволяя бегуну чувствовать себя уверенно и комфортно с каждым шагом. Уникальная система шнуровки сохраняет ногу в надёжном положении, предотвращая соскальзывание при движении. Внутренний ботинок обеспечивает дополнительный комфорт и плотное облегание стопы. Изысканный дизайн сочетает в себе элегантность и современные акценты, придавая кроссовкам стильный вид, который будет уместен как на пробежке, так и в повседневной жизни. Подмётка с рисунком, оптимизированным для бега, обеспечивает отличное сцепление и износостойкость. В UA W Infinite Pro каждая деталь продумана так, чтобы улучшить ваш беговой опыт и поддерживать высокую производительность.</t>
  </si>
  <si>
    <t>UA Charged Assert 10</t>
  </si>
  <si>
    <t>3026175-011</t>
  </si>
  <si>
    <t>Кроссовки UA Charged Assert 10 от Under Armour — это превосходный выбор для спортсменов, ищущих идеальное сочетание поддержки, гибкости и стиля. Эти кроссовки выполнены в черном цвете и состоят из 51% кожи, 45% текстиля и 4% синтетики, что обеспечивает долговечность и комфорт. Дышащий верх и прочные кожаные вставки повышают износостойкость, а уникальная технология Charged Cushioning создает отзывчивую амортизацию для максимальной эффективности при каждом шаге. Внешняя подошва обеспечивает отличное сцепление с поверхностью, позволяя чувствовать уверенность на любых покрытиях.
- Уникальная средняя подошва Charged Cushioning в UA Charged Assert 10 предлагает превосходную амортизацию и энергоотдачу, улучшая результативность при активных нагрузках.
- Дышащий сетчатый верх обеспечивает отличную вентиляцию, предохраняя ноги от перегрева и повышая комфорт.
- Прочные кожаные вставки усиливают критические зоны износа, продлевая срок службы обуви и улучшая технические характеристики.
- Уникальная резиновая подошва с особой тракцией обеспечивает надежное сцепление и долговечность, увеличивая устойчивость на любых поверхностях.
- Мягкий воротник и язычок создают комфортную посадку, исключая давление и натирание при длительном ношении.
- Традиционная шнуровка позволяет легко адаптировать посадку, обеспечивая индивидуальную подгонку обуви.</t>
  </si>
  <si>
    <t>верх: 51% кожа, 45% текстиль, 4% синт.материалы, подкладка: текстиль, подошва: 100% резина</t>
  </si>
  <si>
    <t>UA Charged Rogue 5</t>
  </si>
  <si>
    <t>3028256-403</t>
  </si>
  <si>
    <t>Мы создали легкую дышащую сетку с нашей промежуточной подошвой Charged Cushioning для потрясающей отдачи, максимального поглощения ударов и упругости, которые позволяют вам бежать вперед и вперед.
Верх из цельной технической сетки обеспечивает легкость, вентиляцию и плотное прилегание к стопе.
Съемная стелька Deluxe Comfort System повторяет форму вашей стопы, обеспечивая максимальный комфорт с первого шага.
Промежуточная подошва Charged Cushioning обеспечивает комфорт в течение всего дня, высокую отдачу и долговечность.
Прочная резиновая подметка обеспечивает сцепление и износостойкость, а также гибкость в тех местах, где она нужна при отталкивании носком.</t>
  </si>
  <si>
    <t>UA Turbulence 3</t>
  </si>
  <si>
    <t>6006717-410</t>
  </si>
  <si>
    <t>Бегунам на длинные дистанции нужна идеальная комбинация амортизации, упругости, износостойкости и эффективности. Именно это вы получаете в модели UA Turbulence: отзывчивая амортизация, плавный ход и комфорт на протяжении многих миль.
• Двухслойный верх из специально разработанной инженерной сетки обеспечивает объёмную структуру и воздухопроницаемость
• Мягкий стелёчный слой с антимикробной обработкой обеспечивает мгновенный комфорт при надевании
• Амортизация средней подошвы Charged+ обеспечивает непревзойдённую мягкость и комфорт в течение всего дня
• Резиновая подошва обеспечивает сцепление по всей стопе и повышенную износостойкость</t>
  </si>
  <si>
    <t>UA W FLOW BREAKTHRU 4</t>
  </si>
  <si>
    <t>3026641-113</t>
  </si>
  <si>
    <t>Дышащий верх UA IntelliKnit с накладками из синтетической кожи.
3D-формованная стелька с низкой степенью сжатия обеспечивает лучший возврат энергии.
Технология амортизации UA Flow обеспечивает улучшенный отскок и поддержку сцепления.
Прочная подошва UA Flow для максимального сцепления.</t>
  </si>
  <si>
    <t>белый/золотой</t>
  </si>
  <si>
    <t>верх: 51% кожа, 49% текстиль, подкладка: текстиль, подошва: 100% этиленвинилацетат (ЭВА)</t>
  </si>
  <si>
    <t>3026128-103</t>
  </si>
  <si>
    <t>UA Sonic 7</t>
  </si>
  <si>
    <t>3028002-100</t>
  </si>
  <si>
    <t>Легкие и отзывчивые кроссовки для бега Under Armour Sonic 7 разработаны для бегунов, ищущих идеальный баланс гибкости и амортизации во время тренировок на асфальте и твердых покрытиях. Эта модель обеспечивает исключительный комфорт и поддержку, помогая снизить ударную нагрузку при каждом шаге.  Идеально подходят для тренировочного бега на средние дистанции, качественных тренировок и повседневного использования для людей с нейтральной пронацией стопы.Мягкая и легкая амортизация UA HOVR™ отзывчива, снижает ударное воздействие, возвращает энергию и помогает двигаться вперед. Верх из тройного жаккардового материала легкий и дышащий. Формованная стелька 3D обеспечивает повышенный комфорт при надевании и поддержку стопы.Перепад (Offset): 8 мм.Цельная резиновая подошва обеспечивает долговечность и отскок. 
Эта модель получила высокие оценки покупателей за легкость, комфорт и эффективную амортизацию, что делает ее надежным выбором для регулярных пробежек.</t>
  </si>
  <si>
    <t>UA HOVR Sonic 6 Storm-BLK</t>
  </si>
  <si>
    <t>3026548-001</t>
  </si>
  <si>
    <t>Беговые кроссовки Under Armour Hovr Sonic 6 Storm - это легкие кроссовки с отличной амортизацией и плавным перекатом, отлично подойдут для ежедневных пробежек.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 Сетчатый верх с технологией Storm, для защиты от влаги без потери воздухопроницаемости
- Жесткий задник удерживает ногу на месте и предотвращает проскальзывание
- Стелька из EVA обеспечивает комфорт, упругость и амортизацию
- 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
- Высокоабразивная резина на пятке для долговечного надежного сцепления на любой поверхности</t>
  </si>
  <si>
    <t>черный/фиолетовый</t>
  </si>
  <si>
    <t>верх: текстиль, подкладка: текстиль, подошва: резина</t>
  </si>
  <si>
    <t>3027212-001</t>
  </si>
  <si>
    <t>верх: 42% текстиль, 34% кожа, 24% синт.материалы, подкладка: текстиль, подошва: 100% резина</t>
  </si>
  <si>
    <t>UA HOVR MACHINA 4 DL 2.0</t>
  </si>
  <si>
    <t>3026231-100</t>
  </si>
  <si>
    <t>Кроссовки для бега Under Armour HOVR Machina 4 DL 2.0 – это сочетание передовых технологий и непревзойденного комфорта для любого уровня подготовки. Идеально подходящие для тренировок и соревнований, эти кроссовки предлагают уникальное сочетание легкости, амортизации и поддержки.
Основные характеристики:
1. Технология HOVR: Инновационная амортизация HOVR обеспечивает ощущение невесомости и энергоотдачи, уменьшая ударные нагрузки и позволяя бегуну сохранять силы на протяжении всей дистанции.
2. Сетчатый верх: Легкий и дышащий материал верха обеспечивает отличную вентиляцию, сохраняя ноги сухими и комфортными даже при интенсивных нагрузках.
3. SpeedForm 2.0: Обновленная конструкция пятки и передней части стопы для точной посадки и поддержки, что обеспечивает максимальную стабильность и безопасность.
4. Подошва из углеродного каучука: Надежное сцепление с любой поверхностью и высокая износостойкость для длительного срока службы кроссовок.
5. Элементы отражения: Специальные светоотражающие вставки для улучшения видимости в условиях низкой освещенности, обеспечивая безопасность во время утренних или вечерних пробежек.
6. Подключение к приложению UA MapMyRun: Встроенные сенсоры позволяют отслеживать и анализировать данные пробежек в реальном времени, что помогает улучшать результаты и оптимизировать тренировки.
7. Эргономичная стелька: Стелька из материала с эффектом памяти повторяет форму стопы, обеспечивая дополнительный комфорт и поддержку свода стопы.
Under Armour HOVR Machina 4 DL 2.0 – это идеальный выбор для тех, кто ищет высокоэффективные кроссовки, способные выдержать любые испытания и вывести ваш бег на новый уровень.</t>
  </si>
  <si>
    <t>серый, зеленый</t>
  </si>
  <si>
    <t>верх 62% текстиль, 38% синтетика, подкладка текстиль, подошва резина</t>
  </si>
  <si>
    <t>UA HOVR Phantom 3 SE-BLU</t>
  </si>
  <si>
    <t>3026582-402</t>
  </si>
  <si>
    <t>UA Infinite Elite</t>
  </si>
  <si>
    <t>3027189-001</t>
  </si>
  <si>
    <t>UA W HOVR Machina 3 Clone</t>
  </si>
  <si>
    <t>3026732-600</t>
  </si>
  <si>
    <t>Эти кроссовки, созданные для самых длительных пробежек, оснащены дополнительной эластичной подушкой UA HOVR в носке, которая поможет вам взрываться при каждом шаге. Со всем этим драйвом. Верхняя часть растягивается и адаптируется к форме вашей стопы и манере ходьбы. Аэродинамический дизайн пятки и внешняя обвязка пятки из ТПУ для дополнительной поддержки и посадки. Формованный носок из ЭВА обеспечивает дополнительный комфорт, эластичность и амортизацию для бега в течение всего дня. Подушка HOVR снижает удары, восстанавливает энергию и помогает вам прогрессировать. Сочетание углеродистой и выдувной резины в подошве обеспечивает стратегическую долговечность и легкий отскок.</t>
  </si>
  <si>
    <t>фиолетовый/розовый</t>
  </si>
  <si>
    <t>верх 91% текстиль, 9% синтетический материал, подкладка текстиль, подошва 70% резина, 30% эва</t>
  </si>
  <si>
    <t>UA W Charged Impulse 3</t>
  </si>
  <si>
    <t>3025427-100</t>
  </si>
  <si>
    <t>верх: 62% текстиль, 38% синтетическое волокно, подкладка: 100% текстиль, подошва: 100% резина</t>
  </si>
  <si>
    <t>UA W Charged Pursuit 3 BL-WHT</t>
  </si>
  <si>
    <t>3026523-101</t>
  </si>
  <si>
    <t>Зажгите искру страсти к бегу с кроссовками Under Armour Charged Pursuit 3 – идеальная обувь для тех, кто устремлён к своим целям. Изысканные линии и продуманный дизайн гарантируют, что каждый ваш шаг будет насыщен энергией и уверенностью.
Верх Charged Pursuit 3 выполнен из легкой ткани, которая дополняется текстурированными панелями для дополнительной поддержки и долговечности. Это профессиональное сочетание отлично пропускает воздух, обеспечивая вам прохладу даже в условиях высокой активности.
Комфорт обеспечен благодаря мягкой, но устойчивой промежуточной подошве Charged Cushioning®. Эта вспененная технология идеально поглощает удары при каждом контакте с землей и выдает обратно энергию для дополнительного импульса вперёд, сокращая усталость и повышая эффективность вашего бега.
Подошва с резиновым покрытием на критических зонах обеспечивает исключительное сцепление и долговечность, помогая сохранить уверенное движение по любой поверхности. Их гибкий дизайн следует за каждым изгибом вашей стопы, создавая бесшовное ощущение движения и гарантируя полный контроль.
Каждая пара Under Armour Charged Pursuit 3 создана с учетом потребностей спортсменов, которые не терпят компромиссов в стремлении к своим спортивным амбициям. Обуйте их и позвольте себе ощутить силу и грацию, пока вы преследуете свои лучшие результаты с несгибаемой решимостью!</t>
  </si>
  <si>
    <t>белый/серый/розовый</t>
  </si>
  <si>
    <t>верх 100% текстиль, подошва 70% резина, 30% эва</t>
  </si>
  <si>
    <t>3026682-001</t>
  </si>
  <si>
    <t>Беговые кроссовки Under Armour Charged Impulse 3 Knit - это легкие и гибкие кроссовки с отличной воздухопроницаемостью. Данная обувь создана для бегунов, которым нужен баланс гибкости и амортизации. Сверхлегкие и гибкие кроссовки, готовые ко всему. Charged Cushioning защищает ваши ноги во время длительных пробежек, а вязаный верх обеспечивает вентиляцию ног.
Полностью вязаный верх обеспечивает воздухопроницаемую компрессионную посадку и легкий вес, направленную силу. Ботильоны длиной ¾ охватывают среднюю и переднюю часть стопы, обеспечивая более надежную и мягкую посадку. Встроенная стелька для дополнительной амортизации и комфорта. Подошва Charged Cushioning более жесткая в пятке и более мягкая в передней части стопы для поддержки и комфорта. Твердая резиновая подошва закрывает зоны с высокой ударной нагрузкой, обеспечивая большую долговечность и меньший вес.
Текстильный верх для более лучшего прилегания и увеличения вентиляции. Стелька обеспечивает дополнительную амортизацию. Двухслойная промежуточная подошва Charged Cushioning жестче у пятки и мягче в передней части стопы для сочетания поддержки и комфорта. Высокоабразивная резина на пятке и носке для долговечности и надежного сцепления с любой поверхностью
Анатомически расположенные глубокие изогнутые канавки для большей гибкости в ключевых областях.</t>
  </si>
  <si>
    <t>верх: 63% текстиль, 37% синт.материалы, подкладка: текстиль, подошва: 100% резина</t>
  </si>
  <si>
    <t>3027006-002</t>
  </si>
  <si>
    <t>UA W Charged Rogue 5</t>
  </si>
  <si>
    <t>3028262-100</t>
  </si>
  <si>
    <t>Женские кроссовки для бега и тренировок с улучшенной амортизацией и поддержкой. Лёгкие и универсальные, подходят как для пробежек, так и для повседневной активности.
 Верх: дышащая сетчатая конструкция для вентиляции
 Амортизация: технология Charged Cushioning® для мягкой и отзывчивой поддержки
 Подошва: прочная резиновая с гибкими канавками для естественного движения
 Застежка: классическая шнуровка для надёжной фиксации
 Логотип: фирменные элементы Under Armour
Идеальны для ежедневных пробежек, тренировок в зале и активного повседневного использования.</t>
  </si>
  <si>
    <t>UA Lockdown 7 Low</t>
  </si>
  <si>
    <t>3027646-003</t>
  </si>
  <si>
    <t>Under Armour Lockdown 7 Low — это идеальные кроссовки для баскетболистов, которые ищут контроль и комфорт на корте. Совмещая 42% кожи, 36% текстиль и 22% синтетических материалов, они обеспечивают поддержку и длительное использование. Дышащий верх из сетки с наложениями из кожи и пленки обеспечивает надежность и долговечность, позволяя коже дышать и оставаться свежей.
- Низкая посадка воротника предлагает легкость и отзывчивость, способствуя быстроте и маневренности на корте.
- ЭВА промежуточная подошва обеспечивает мягкую амортизацию, уменьшая ударную нагрузку и повышая комфорт во время игры.
- Прочная резиновая подошва с елочным рисунком обеспечивает максимальное сцепление и контроль на любой баскетбольной поверхности.
- Оптимизированный рисунок подошвы гарантирует стабильность и уверенность в движениях на высоких скоростях.
- Универсальная конструкция подходит для всех игроков, предлагая сбалансированный комфорт и поддержку независимо от позиции на поле.</t>
  </si>
  <si>
    <t>верх: кожа,текстиль, иск.кожа; подкладка: текстиль; подошва: резина</t>
  </si>
  <si>
    <t>3027646-453</t>
  </si>
  <si>
    <t>UA W Surge 3</t>
  </si>
  <si>
    <t>3024894-005</t>
  </si>
  <si>
    <t>Женские беговые кроссовки UA Surge 3.
Легкий дышащий сетчатый верх
Улучшенная амортизация вокруг воротника лодыжки для превосходного комфорта
Мягкая промежуточная подошва из ЭВА обеспечивает легкость и отзывчивость при ходьбе.
Стратегически расположенные резиновые вставки на подошве для долговечности при меньшем весе.</t>
  </si>
  <si>
    <t>Верх: 54% текстиль, 46% синтетический материал~Подошва: 58% резина, 42% этиленвинилацетат (ЭВА)</t>
  </si>
  <si>
    <t>3024894-112</t>
  </si>
  <si>
    <t>67% текстиль, 33% синтетический материал</t>
  </si>
  <si>
    <t>UA W Charged Breeze</t>
  </si>
  <si>
    <t>3025130-601</t>
  </si>
  <si>
    <t>Изящный дизайн, амортизация Charged Cushioning, глубокие канавки для гибкости и мягкая эластичная посадка дают вам все преимущества, необходимые для достижения цели. Легкий, дышащий верх из эластичной сетки с формованной синтетической вставкой в средней части стопы для дополнительной прочности и поддержки. Мягкая стелька для максимального комфорта и амортизации. В промежуточной подошве Charged Cushioning используется формованный пено материал для максимальной отзывчивости и долговечности с меньшим весом. Анатомически расположенные глубокие канавки обеспечивают дополнительную гибкость в ключевых областях.</t>
  </si>
  <si>
    <t>UA Charged. Технология амортизации кроссовок поглощает удар при каждом шаге и обеспечивает непревзойденный уровень комфорта при длительном беге.; UA Breeze. Легкая и дышащая ткань из сверхпрочных волокон, которые используются в канатах морских судов. Устойчива к износу, меньше натирает, быстро сохнет и мягкая на ощупь.</t>
  </si>
  <si>
    <t>Верх: 83% текстиль, 17% синтетический материал, Подошва: 50% резина, 50% этиленвинилацетат (ЭВА)</t>
  </si>
  <si>
    <t>UA W Charged Surge 4</t>
  </si>
  <si>
    <t>3027007-600</t>
  </si>
  <si>
    <t>Беговые кроссовки Under Armour Charged Surge 4​ выполнены из воздухопроницаемого текстиля. Данная обувь отлично подойдет бегунам, которым нужна гибкость, амортизация и универсальность.
Сетчатый верх для более лучшего облегания и увеличения вентиляции
Стелька Comfort Deluxe System для максимального комфорта
Промежуточная подошва Charged Cushioning двойной плотности для сочетания комфорта и взрывной отдачи энергии
Подошва из твердой резины для надежного сцепления с поверхностью</t>
  </si>
  <si>
    <t>верх: 82% текстиль, 18% синт.материалы, подкладка: текстиль, подошва: 100% резина</t>
  </si>
  <si>
    <t>UA W Phade RN 3</t>
  </si>
  <si>
    <t>3028259-002</t>
  </si>
  <si>
    <t>Мы создали эти кроссовки лёгкими, быстрыми и невероятно удобными.
- Лёгкий и дышащий верх из сетки с зонами усиленной поддержки  
- Съёмная мягкая стелька для комфортной посадки  
- Промежуточная подошва с использованием EVA-амортизации обеспечивает комфорт при первом шаге и лёгкий, упругий ход  
- Износостойкая резиновая подошва с гибкими канавками для дополнительной подвижности в ключевых зонах</t>
  </si>
  <si>
    <t>верх: текстиль, иск.кожа; подкладка: текстиль; подошва: пластик</t>
  </si>
  <si>
    <t>UA HOVR Phantom 3 SE Storm</t>
  </si>
  <si>
    <t>3026610-001</t>
  </si>
  <si>
    <t>верх: 85% текстиль, 15% синт.материалы, подошва: 100% резина</t>
  </si>
  <si>
    <t>UA W HOVR Flux MVMNT</t>
  </si>
  <si>
    <t>3025355-001</t>
  </si>
  <si>
    <t>Отзывчивая амортизация UA HOVR снижает ударную нагрузку, возвращает энергию и помогает двигаться вперед.
Легкий и дышащий сетчатый верх с эластичной структурой там, где это необходимо.
Внешний задник для дополнительной поддержки.
Подошва из твердой резины покрывает зоны повышенного удара для большей прочности при меньшем весе.</t>
  </si>
  <si>
    <t>Верх: 54% синтетический материал,46% текстиль~Подошва: 80% резина,20% этиленвинилацетат</t>
  </si>
  <si>
    <t>3027777-104</t>
  </si>
  <si>
    <t>Женские кроссовки UA W Shift от Under Armour — это баланс комфорта и стиля. Они идеально подходят для занятий спортом и повседневного ношения, предлагая дышащий верх для отличной циркуляции воздуха и мягкую подкладку для амортизации. Стильный дизайн делает их отличным выбором для модной спортсменки. Верх из сетчатого материала гарантирует воздухопроницаемость и комфорт, поддерживая свежесть и легкость во время активного движения.
- Softfoam подкладка обеспечивает мягкую амортизацию и поддержку стопы, уменьшая утомляемость при долгих прогулках или тренировках.
- Эластичный трикотаж сохраняет легкость и комфорт, обеспечивая максимальную гибкость и свободу движений.
- Легкая конструкция позволяет быстро надевать и снимать кроссовки, упрощая повседневное использование.
- Зажим из ТПУ для пятки обеспечивает отличную фиксацию и посадку, повышая стабильность и уверенность при любых нагрузках.
- Уникальная подошва с протектором предлагает надежное сцепление и долговечность, подходя для разнообразных поверхностей.</t>
  </si>
  <si>
    <t>верх: 92% текстиль, 8% синт.материалы, подошва: 100% резина</t>
  </si>
  <si>
    <t>UA W HOVR Sonic 5</t>
  </si>
  <si>
    <t>3024906-001</t>
  </si>
  <si>
    <t>Универсальные тренировочные кроссовки с упругой амортизацией и плавным перекатом, в которых будет комфортно преодолевать даже длинные дистанции. Эта модель оснащена сенсором Record Sensor, чтобы в режиме реального времени следить за своим каденсом, темпом, длиной шага и другими техническими показателями. Таким образом, кроссовки могут выступать в качестве тренера, нужно только подключить датчик к приложению MapMyRun.Система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На подошве расположен глубокий протектор, обеспечивающий максимальную гибкость при движении, а накладки из углеродистой резины под пяткой повышают сцепление с поверхностью и износостойкость.</t>
  </si>
  <si>
    <t>Верх: 90% текстиль, 10% синтетический материал~Подошва: 100% резина</t>
  </si>
  <si>
    <t>3026525-100</t>
  </si>
  <si>
    <t>верх 76% текстиль, 24% синтетическое волокно, подкладка текстиль, подошва резина</t>
  </si>
  <si>
    <t>UA Charged Bandit TR 3</t>
  </si>
  <si>
    <t>3028371-024</t>
  </si>
  <si>
    <t>Under Armour UA Charged Bandit TR 3 — идеальный выбор для бегунов, предпочитающих активный отдых на природе. Износостойкий верх из синтетических материалов и текстиля предлагает превосходную воздухопроницаемость и долговечность. Эти кроссовки гарантируют комфорт и надежность на любых типах поверхностей благодаря агрессивной резиновой подошве. Прочный верх из синтетических материалов и текстиля обеспечивает долговечность и отличную вентиляцию, поддерживая комфорт в течение длительных пробежек.
- Текстильная подкладка мягко поддерживает стопу, предотвращая натирание и обеспечивая комфортное прилегание.
- Агрессивный протектор резиновой подошвы гарантирует надежное сцепление на сложных поверхностях, будь то город или природа.
- Шнуровка позволяет легко адаптировать посадку к индивидуальным предпочтениям, предоставляя надежную фиксацию.
- Легкая конструкция кроссовок способствует естественным движениям, обеспечивая устойчивость и защиту в любых условиях.
- Эти кроссовки идеально подходят для тех, кто ценит сочетание надежности и комфорта в активном образе жизни.</t>
  </si>
  <si>
    <t>верх: иск.кожа, текстиль; подкладка: текстиль; подошва: резина</t>
  </si>
  <si>
    <t>3026682-105</t>
  </si>
  <si>
    <t>верх: 63% текстиль, 37% синт.материалы~подошва: 100% резина</t>
  </si>
  <si>
    <t>3025060-100</t>
  </si>
  <si>
    <t>UA W Charged Aurora 2 - это стильные и комфортные женские кроссовки, которые идеально подходят для фитнеса и тренировок. Технология Charged Cushioning в стельке обеспечивает мягкую и амортизирующую поддержку при активных нагрузках, облегчая утомление и уменьшая давление на стопу. Кроме того, технология Threadborne в верхней части обуви позволяет ногам дышать, не допуская перегревания во время тренировки, и обеспечивает идеальную посадку. Подошва изготовлена из особого прочного материала, отлично сцепляющегося с поверхностью, что обеспечивает надежность и безопасность. Кроссовки UA W Charged Aurora 2 также имеют стильный и элегантный дизайн, который позволяет выделиться на тренировке и дарит уверенность на всю оставшуюся часть дня. Независимо от того, занимаетесь вы юогой или кроссфитом, выберите UA W Charged Aurora 2, чтобы чувствовать себя комфортно и выглядеть стильно на тренировке и в повседневной жизни.</t>
  </si>
  <si>
    <t>3026175-009</t>
  </si>
  <si>
    <t>3026175-400</t>
  </si>
  <si>
    <t>Встречайте кроссовки, в которых ваша уверенность будет крепнуть с каждым шагом: Under Armour Charged Assert 10. Это идеальное решение для активных спортсменов, которые ищут баланс между поддержкой и гибкостью, необходимыми в беге и активных тренировках. Замечательно сбалансированный силуэт кроссовок Charged Assert 10 сочетает эффективность с элегантностью. Дышащий сетчатый верх обеспечивает необходимую циркуляцию воздуха, в то время как прочные кожаные зоны укрепляют критически важные зоны износа, продлевая жизнь вашей обуви и улучшая её технические характеристики. Обувь оснащена уникальной средней подошвой Charged Cushioning, предлагающей отзывчивую энергию и отличную амортизацию, даря вам необходимую отдачу при беге и спортивных манёврах. Эта подошва работает в унисон с вашими движениями, обеспечивая комфорт и поддержку на протяжении всего дня. Внешняя подошва гарантирует превосходное сцепление с разными типами поверхностей благодаря уникальной резиновой тракционной модели, которая также дополняет долговечность кроссовок. Мягкий воротник и язычок обеспечивают посадку без давления, а традиционная шнуровка позволяет легко регулировать посадку.Under Armour Charged Assert 10 – это воплощение удобства и мощи для тех, кто настаивает на высоких ре зультатов с каждым километром. Обувь, которая позволяет стоять уверенно и двигаться смело. Наступите с уверенностью и ощутите непревзойденное заряженное ускорение, куда бы вас ни занес путь!</t>
  </si>
  <si>
    <t>UA W Ascend</t>
  </si>
  <si>
    <t>6009828-001</t>
  </si>
  <si>
    <t>Беговые кроссовки Under Armour Ascend
Верх из сетчатого материала с усилением в области средней части стопы обеспечивает стабильность, поддержку и вентиляцию, а антибактериальная стелька сохраняет ощущение свежести и комфорта в течение всего дня. Лёгкая промежуточная подошва Charged+ амортизирует ударные нагрузки и дарит мягкое ощущение при каждом шаге, делая пробежки более приятными.
Прочная резиновая внешняя подошва гарантирует надёжное сцепление с любой поверхностью и долгий срок службы, а сдержанный логотип на пятке добавляет обуви элегантности. Шнуровка обеспечивает надёжную фиксацию и поддержку для уверенности во время каждой тренировки или пробежки.
• Верх: сетчатый материал с усилением в средней части стопы для стабильности
• Стелька: антибактериальная для максимального комфорта
• Промежуточная подошва: лёгкая технология Charged+ для амортизации ударов
• Внешняя подошва: резиновая для надёжного сцепления
• Фиксация: шнуровка для безопасной посадки</t>
  </si>
  <si>
    <t>UA HOVR Infinite 4</t>
  </si>
  <si>
    <t>3024897-601</t>
  </si>
  <si>
    <t>Увеличьте свой потенциал в беге с кроссовками Under Armour UA HOVR Infinite 4! Эти кроссовки предлагают бесконечные возможности для достижения новых результатов в беге. Современные технологии и материалы делают эти кроссовки идеальным выбором для серьезных бегунов. Технология HOVR в стельке обеспечивает превосходную амортизацию и возврат энергии во время каждого шага, что помогает уменьшить утомляемость ног и увеличить дальность бега. Верх изготовлен из дышащих материалов, которые обеспечивают комфорт и вентиляцию даже в самых жарких условиях. Анатомический дизайн кроссовок помогает поддерживать стопу в правильном положении и предотвращать травмы во время бега. Будьте на шаг впереди своих тренировок с кроссовками Under Armour UA HOVR Infinite 4.</t>
  </si>
  <si>
    <t>72% текстиль, 28% синтетический материал</t>
  </si>
  <si>
    <t>UA HOVR Sonic 5</t>
  </si>
  <si>
    <t>3024898-601</t>
  </si>
  <si>
    <t>UA HOVR™ Sonic — это обувь для бегунов, которые любят длинные дистанции, но хотят большей гибкости, ощущения воздухопроницаемости и обратной связи в режиме реального времени от Form Coaching. Оснащены подключением UA MapMyRun™, чтобы помочь вам бегать лучше каждый раз, когда вы их зашнуровываете.</t>
  </si>
  <si>
    <t>92% текстиль, 8% синтетический материал</t>
  </si>
  <si>
    <t>3024906-302</t>
  </si>
  <si>
    <t>3026550-300</t>
  </si>
  <si>
    <t>верх 98% текстиль, 2% синтетика, подкладка текстиль, подошва резина</t>
  </si>
  <si>
    <t>UA PROJECT ROCK BSR 4</t>
  </si>
  <si>
    <t>3027344-001</t>
  </si>
  <si>
    <t>UA Project Rock BSR 4 - это кроссовки, созданные для тех, кто не останавливается перед сложностями и стремится к превосходству в каждом тренировочном процессе. Разработанные при участии Дуэйна "Скалы" Джонсона, они олицетворяют философию настойчивости и силы.
- Материалы и конструкция:
  - Верх из прочного и дышащего материала обеспечивает оптимальный климат для стопы, предотвращая перегрев и потливость.
  - Боковые панели усилены для дополнительной поддержки и долговечности, что делает кроссовки идеальными для интенсивных тренировок.
- Комфорт и амортизация:
  - Технология Charged Cushioning® в межподошве идеально амортизирует каждый шаг, снижая ударную нагрузку и обеспечивая комфорт на протяжении всей тренировки.
  - Внутренняя стелька с эффектом памяти подстраивается под форму вашей стопы, обеспечивая индивидуальный комфорт и поддержку.
- Подошва и сцепление:
  - Прочная резиновая подошва с ярко выраженным протектором обеспечивает отличное сцепление на любых поверхностях, будь то зал или открытая местность.
  - Рифленная конструкция подошвы способствует естественному движению стопы, повышая устойчивость и контроль при выполнении упражнений.
- Дизайн и символика:
  - Лаконичный, но мощный дизайн включает в себя фирменные элементы Project Rock, такие как логотип "Bull", символизирующий настойчивость и неукротимый дух.
  - Доступные в различных цветовых вариантах, кроссовки подойдут к любому спортивному гардеробу и подчеркнут вашу решимость в достижении целей.
UA Project Rock BSR 4 - это не просто кроссовки, это символ упорства, силы и целеустремленности. Подходящие для тренировок любой интенсивности, они обеспечат вас комфортом, поддержкой и мотивацией на пути к новым достижениям.</t>
  </si>
  <si>
    <t>верх: 70% полиэстер, 30% полиуретан, подкладка: тектсиль, подошва: 100% резина</t>
  </si>
  <si>
    <t>UA U HOVR DS RIDGE TR</t>
  </si>
  <si>
    <t>3025852-003</t>
  </si>
  <si>
    <t>Идеальный баланс между взрывной силой, прочным верхом и UA HOVR под ногами, который возвращает энергию. Динамичный усиленный верх, оптимизированный для легкости и долговечности.
Стратегические 3D-наложения
Антимикробная стелька Ortholite для комфорта и воздухопроницаемости.
Технология UA HOVR уменьшает воздействие, возвращает энергию и создает ощущение невесомости.
Сверхпрочная подошва Vibram с рисунком выступов Mega Grip для превосходного сцепления на различных поверхностях.</t>
  </si>
  <si>
    <t>UA Vibram. Подошва с уникальным дизайном тяговых выступов для максимального сцепления и долговечности.; 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 OrthoLite. Амортизация.</t>
  </si>
  <si>
    <t>верх 79% текстиль, 21% синтетика, подкладка текстиль, подошва резина</t>
  </si>
  <si>
    <t>4,5/6</t>
  </si>
  <si>
    <t>UA U HOVR DS Ridge TR</t>
  </si>
  <si>
    <t>3025852-501</t>
  </si>
  <si>
    <t>UA HOVR Sonic 6-ORG</t>
  </si>
  <si>
    <t>3026121-800</t>
  </si>
  <si>
    <t>UA HOVR Sonic 6 - это непревзойденная скорость и комфорт в каждом шаге. Эти кроссовки оснащены инновационной технологией HOVR, которая обеспечивает невероятное ощущение плавного погружения и упругой отдачи, чтобы вы могли выдавать свои лучшие результаты. С легким и дышащим верхом из сетчатого материала, эти кроссовки обеспечивают непревзойденную посадку и комфорт. За счет уникальной конструкции, они обеспечивают отличную вентиляцию и долговечность, гарантируя, что ваша нога останется прохладной и сухой даже в самые интенсивные моменты тренировки. Кроссовки UA HOVR Sonic 6 также оснащены системой перезарядки энергии, которая позволяет вам совершать более продолжительные и эффективные тренировки, не теряя энергию. Вы будете чувствовать себя легкими и быстрыми, несмотря на любую дистанцию или интенсивность тренировки. Прочная резиновая подошва с дополнительными сцепными элементами обеспечивает надежную и устойчивую посадку на любой поверхности. Это идеальные кроссовки для бега по асфальту, тренировок в тренажерном зале или прогулок на улице. UA HOVR Sonic 6 - это символ инновации и высокой производительности. Независимо от ваших спортивных целей, эти кроссовки помогут вам преодолеть любые преграды и достичь новых высот в своей тренировке. Ощутите мощь и скорость с UA HOVR Sonic 6!</t>
  </si>
  <si>
    <t>мультиколор</t>
  </si>
  <si>
    <t>верх 88% текстиль, 12% синт.материалы, подошва резина</t>
  </si>
  <si>
    <t>UA Dynamic 2</t>
  </si>
  <si>
    <t>3028076-308</t>
  </si>
  <si>
    <t>Under Armour UA Dynamic 2  - это универсальные мужские кроссовки для интенсивных тренировок, идеальная обувь для спортсменов, которым нужна универсальность. Модель разработана для эффективного сочетания амортизации беговых кроссовок с необходимой поддержкой для силовых упражнений и боковых движений.  Идеально подходят для разнообразных тренировок, включая занятия в тренажерном зале, бег на короткие и средние дистанции, командные виды спорта, а также для повседневного комфортного ношения.
 Инновационная промежуточная подошва Flow исключает тяжелую резиновую подметку, делая обувь значительно легче и обеспечивая плавный ход и превосходное сцепление на различных поверхностях. Материал подошвы отличается высокой прочностью. Обновленный верх UA IntelliKnit обеспечивает мягкость прилегания и зональную фиксацию стопы. Плюшевый язычок и широкое основание подошвы гарантируют комфорт и устойчивость при резких боковых движениях.Перепад (Offset): 8 мм. Состав: Верх 84% текстиль, 16% синтетика; подошва 100% EVA. 
Эта модель - отличный выбор для тех, кто ищет одну пару обуви для всех видов активности.</t>
  </si>
  <si>
    <t>UA W HOVR Machina 2</t>
  </si>
  <si>
    <t>3023555-601</t>
  </si>
  <si>
    <t>UA HOVR Machina 2 - это больше, чем кроссовки. Да, это дает вам возврат энергии и скорость движителя, но он также тренирует вас в реальном времени, чтобы помочь вам лучше бегать, когда вы подключаете их к UA MapMyRun. ПОДКЛЮЧЕНИЕ К UA MAPMYRUN: отслеживает и анализирует ваши беговые показатели, чтобы помочь вам стать лучше. Технология UA HOVR обеспечивает ощущение невесомости для поддержания возврата энергии, что помогает исключить удары. Сжатая сетка Energy Web содержит и формирует пену UA HOVR для возврата энергии, которую вы вложили в верхнюю часть из сверхлегкой трехмерной сетки для повышенной воздухопроницаемости и максимальной скорости. Внешняя поддержка пятки для дополнительной стабильности и фиксации Feel Sprint. Накладки из углеродистой резины под пяткой обеспечивают лучшее сцепление и долговечность в зонах сильных ударов. Светоотражающие детали. Перепад: 8 мм Вес кроссовка:  230 грамм.</t>
  </si>
  <si>
    <t>Верх: 77% текстиль,23% синтетический материал~Подошва: 100% резина</t>
  </si>
  <si>
    <t>UA HOVR Infinite 5-GRN</t>
  </si>
  <si>
    <t>3026545-300</t>
  </si>
  <si>
    <t>Одним из ключевых факторов, обеспечивающих комфорт и поддержку ноги, является сетчатый верх обуви. Специально разработанный и легкий материал обеспечивает не только воздухопроницаемость, но и стратегическую поддержку в необходимых точках стопы. Для дополнительного комфорта и стабилизации существует пяточный воротник. Он придает дополнительную поддержку пятке, что особенно важно при интенсивных тренировках или беге на неровных поверхностях. Неотъемлемой частью кроссовок является амортизирующая система. Она снижет удары, восстанавливает потерянную энергию и обеспечивает необходимую тягу при движении. Гибкость кроссовок также очень важна. Анатомически расположенные, глубокие и гибкие канавки способствуют необходимой гибкости в ключевых областях стопы. Они позволяют легко двигаться и придавать ноге естественное положение во время активных тренировок. Наконец, вставки из углеродистой резины под пяткой обеспечивают лучшее сцепление и амортизацию, увеличивая долговечность участков обуви, которые наиболее подвержены воздействию.</t>
  </si>
  <si>
    <t>верх 98% текстиль, 2% синт.материалы, подошва резина</t>
  </si>
  <si>
    <t>UA Phantom Fore</t>
  </si>
  <si>
    <t>3027876-001</t>
  </si>
  <si>
    <t>Under Armour Phantom Fore Spikeless — универсальные гольф-кроссовки без шипов. Отправляйтесь с поля прямо в клубный дом — эти кроссовки станут вашим новым выбором на каждый день.
Лёгкая водонепроницаемая мембрана и верх, обработанный технологией NeverWet™, сохранят ноги сухими и прохладными в сырую погоду
Мягкий формованный верх из пеноматериала с покрытием из TPU и вязаные горловина и язычок обеспечивают удобство как у носков и комфорт при надевании
Упругая амортизация UA HOVR+™ уменьшает ударную нагрузку, возвращает энергию и помогает двигаться вперёд
Прочная резиновая подошва с протектором, устойчивым к прокручиванию, обеспечивает надёжное сцепление</t>
  </si>
  <si>
    <t>верх: 60% синт.материалы, 40% текстиль, подкладка: текстиль, подошва: 100% резина</t>
  </si>
  <si>
    <t>UA W HOVR Sonic 4</t>
  </si>
  <si>
    <t>3023559-002</t>
  </si>
  <si>
    <t>Кроссовки, созданные специально для бега на длинные дистанции, которые отличаются прекрасной гибкостью и оптимальной амортизацией. UA HOVR  Sonic 4 оснащены сенсором Record Sensor и подключаются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В передней части подошвы используется мягкая выдувная резина, в задней - более жесткая, благодаря чему повышается износостойкость кроссовок. Язычок крепится к съемной стельке с помощью растягивающихся опорных крыльев, чтобы обеспечить максимально плотное прилегание к ноге. Цельная конструкция пятки с внешним задником из ТПУ создает дополнительную поддержку. Верх кроссовок выполнен из сверхлегкой сетки, которая улучшает воздухопроницаемость и влагообмен и обеспечивает надежную поддержку стопы.</t>
  </si>
  <si>
    <t>92% текстиль,  8% синтетика, подкладка текстиль, подошва резина</t>
  </si>
  <si>
    <t>UA HOVR Phantom 3 SE</t>
  </si>
  <si>
    <t>3026582-201</t>
  </si>
  <si>
    <t>UA Machina Storm-GRN</t>
  </si>
  <si>
    <t>3026546-300</t>
  </si>
  <si>
    <t>Испытайте новый уровень комфорта и защиты с этой обувью. Благодаря технологии UA Storm верхний материал водоотталкивающий, но при этом дышащий. Светоотражающий принт увеличивает вашу видимость при плохом освещении. Специально разработанная область пятки обеспечивает дополнительную поддержку и идеальную посадку благодаря внешнему покрытию из ТПУ. Ваша нога также поддерживается стелькой трехмерной формы, которая оптимально амортизирует каждый шаг. Особой изюминкой является реактивная амортизация Under Armour HOVR, которая снижает ударные нагрузки, возвращает энергию и придает дополнительный драйв. Новая резиновая подошва обеспечивает улучшенный контакт с дорогой во влажных условиях и обеспечивает лучшее сцепление. С этой обувью вы будете оптимально экипированы для любого пробега.</t>
  </si>
  <si>
    <t>белый/оранжевый</t>
  </si>
  <si>
    <t>93% текстиль 7% синтетика подошва: 100% резина</t>
  </si>
  <si>
    <t>UA HOVR Machina 3 Clone-BLU</t>
  </si>
  <si>
    <t>3026729-302</t>
  </si>
  <si>
    <t>Беговые кроссовки Under Armour Hovr Machina 3 Clone обеспечивают гибкость и амортизацию, и отлично подойдут для бега на средние и длинные дистанции.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Текстильный верх для более лучшего прилегания и увеличения вентиляции
Усиленный задник для дополнительной поддержки стопы
Формованная стелька из EVA для комфорта, упругости и амортизации
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
Твердая резиновая подошва с уникальным рисунком протектора для износостойкости и лучшего сцепления с поверхностью</t>
  </si>
  <si>
    <t>верх: 92% текстиль, 8% синт.материалы~подошва: 70% резина, 30% ЭВА</t>
  </si>
  <si>
    <t>UA HOVR Infinite 5-BLK</t>
  </si>
  <si>
    <t>3026545-005</t>
  </si>
  <si>
    <t>черный/желтый/синий</t>
  </si>
  <si>
    <t>верх: 98% текстиль, 2% синтетика, подкладка: текстиль, подошва: резина</t>
  </si>
  <si>
    <t>UA HOVR Phantom 3 Storm-BLU</t>
  </si>
  <si>
    <t>3025522-400</t>
  </si>
  <si>
    <t>3027585-348</t>
  </si>
  <si>
    <t>CURRY Splash 25</t>
  </si>
  <si>
    <t>3028459-001</t>
  </si>
  <si>
    <t>Созданные с учетом потребностей игроков в уличный баскетбол, Curry Splash 25 достаточно прочные, чтобы доминировать на любой площадке. Прочный резиновый протектор, открытая дышащая сетка и устойчивые к истиранию накладки позволяют играть как на паркете, так и на асфальте.
Легкий верх из дышащей сетки с усилениями для повышения долговечности.
Полуботиночная конструкция с классической фиксацией для удобства надевания и полного комфорта.
Вырубленная стелька из пеноматериала с открытыми ячейками для превосходного комфорта при каждом шаге.
Полнодлинновая промежуточная подошва Micro G® обеспечивает исключительную отзывчивость и ощущение площадки.
Прочная резиновая подошва с круговым рисунком протектора для отличного сцепления на площадке.
Curry Splash 25 — это идеальное сочетание прочности, комфорта и производительности для игры в любом месте.</t>
  </si>
  <si>
    <t>верх: 51% текстиль, 49% синт.материалы, подкладка: текстиль, подошва: 100% резина</t>
  </si>
  <si>
    <t>UA GS PROJECT ROCK 5</t>
  </si>
  <si>
    <t>3025437-100</t>
  </si>
  <si>
    <t>Экипировка Project Rock для тренировок создана, чтобы помочь вам найти свои границы — и уверенно прорваться сквозь них. Каждая деталь этой коллекции лично одобрена Дуэйном Джонсоном — человеком, который работает усерднее всех. В ЛЮБОМ помещении.
🔹 Прочная инженерная сетка верха — лёгкая и дышащая, с продуманной эластичностью и поддержкой в тех зонах, где она действительно нужна
🔹 Мягкий трикотажный воротник — обеспечивает максимальный комфорт и предотвращает натирание
🔹 Формованная лента из ТПУ (полиуретана) от пятки до средней части стопы — надёжно фиксирует пятку, обеспечивает стабильность, при этом сохраняя естественную подвижность передней части стопы
🔹 Технология амортизации UA HOVR™ — снижает ударную нагрузку, возвращает энергию при каждом шаге и помогает эффективно отталкиваться вперёд
🔹 Подошва UA TriBase™ — увеличивает площадь контакта с поверхностью, способствует естественной биомеханике движения и обеспечивает гибкость с надёжным сцеплением при выполнении силовых упражнений
Это не просто обувь. Это фундамент вашей силы.
Project Rock. Где бы вы ни были — вы всегда в своей комнате.</t>
  </si>
  <si>
    <t>UA W HOVR Mega 2 Clone</t>
  </si>
  <si>
    <t>3024480-001</t>
  </si>
  <si>
    <t>Кроссовки предназначены для пересеченной местности. Детали: сетчатый верх обеспечивает легкую поддержку и улучшенную воздухопроницаемость. Синтетические накладки для дополнительной боковой поддержки и износостойкости. Усиленный задник для дополнительной поддержки. Промежуточная подошва качественно гасит нагрузки в течение длительного времени. Полноразмерная резиновая подошва UA TriBase  увеличивает контакт с поверхностью, способствует естественному движению и обеспечивает гибкость сцепления во время подъема.</t>
  </si>
  <si>
    <t>Верх: 88% текстиль,12% синтетический материал~Подошва: 57% резина,43% этиленвинилацетат</t>
  </si>
  <si>
    <t>3027586-014</t>
  </si>
  <si>
    <t>UA Charged Pursuit 3 Tech</t>
  </si>
  <si>
    <t>3025424-002</t>
  </si>
  <si>
    <t>UA PROJECT ROCK 7 Q4</t>
  </si>
  <si>
    <t>3027668-300</t>
  </si>
  <si>
    <t>Under Armour UA PROJECT ROCK 7 Q4 — кроссовки, разработанные для тех, кто стремится к максимуму в тренировках и жизни. Верхняя часть выполнена из прочного текстиля и синтетических материалов, что гарантирует легкость и отличную вентиляцию. Текстильная подкладка обеспечивает дополнительный комфорт при носке, предотвращая трение и натирание. Резиновая подошва специально спроектирована для отличного сцепления и устойчивости на любых поверхностях, будь то тренажерный зал или асфальт. Застежка на шнуровке позволяет легко настроить плотность посадки, обеспечивая надежную фиксацию. Эти кроссовки — идеальный выбор для интенсивных тренировок, благодаря своему прочному и стильному дизайну.</t>
  </si>
  <si>
    <t>коричневый/черный</t>
  </si>
  <si>
    <t>UA W Charged Decoy</t>
  </si>
  <si>
    <t>3026685-500</t>
  </si>
  <si>
    <t>Отправляйтесь навстречу приключениям с кроссовками UA W Charged Decoy – идеальным союзником для тех, кто стремится к свободе движения и настоящему комфорту. UA W Charged Decoy – это пример того, как стиль и функциональность могут сливаться воедино, создавая идеальную обувь для активного и динамичного образа жизни современной женщины. С амортизирующей технологией Charged Cushioning эти кроссовки гарантируют упругий и отзывчивый шаг, даря энергию и поддержку там, где это нужно больше всего. Легкий и прочный верх из сетки обеспечивает высокую воздухопроницаемость, поддерживая ваши ноги в прохладе и комфорте в течение всего дня. Интегрированный язычок и уникальная конструкция облегают ногу, предоставляя безупречную посадку, словно кроссовки становятся естественным продолжением вашего движения. Удобная и адаптивная шнуровка обеспечивает гибкость и стабильность, позволяя кроссовкам UA W Charged Decoy идеально подходить для широкого спектра деятельности — от быстрых прогулок до тренировочных сессий в спортзале. Дизайн Подошвы, созданный с учетом принципов тракции и долговечности, подарит вам уверенность в каждом шаге, независимо от поверхности. И, благодаря современному дизайну, эти кроссовки станут стильным дополнением к вашему повседневному или спортивному гардеробу. Кроссовки UA W Charged Decoy – это выбор для женщин, которые не просто следуют за трендами, но и устанавливают их самостоятельно, в каждом аспекте своей энергичной жизни. Не дайте ничему удержать вас на месте – берите от жизни все с UA W Charged Decoy.</t>
  </si>
  <si>
    <t>верх 54% кожа, 46% текстиль, подкладка текстиль, подошва резина</t>
  </si>
  <si>
    <t>3025130-001</t>
  </si>
  <si>
    <t>UA W HOVR Sonic STRT</t>
  </si>
  <si>
    <t>3024370-001</t>
  </si>
  <si>
    <t>Кроссовки, созданные специально для бега на длинные дистанции, которые отличаются прекрасной гибкостью и оптимальной амортизацией. UA W HOVR Sonic STRT оснащены сенсором Record Sensor и подключаются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В передней части подошвы используется мягкая выдувная резина, в задней - более жесткая, благодаря чему повышается износостойкость кроссовок. Язычок крепится к съемной стельке с помощью растягивающихся опорных крыльев, чтобы обеспечить максимально плотное прилегание к ноге. Цельная конструкция пятки с внешним задником из ТПУ создает дополнительную поддержку. Верх кроссовок выполнен из сверхлегкой сетки, которая улучшает воздухопроницаемость и влагообмен и обеспечивает надежную поддержку стопы.</t>
  </si>
  <si>
    <t>80% синтетический материал, 20% текстиль</t>
  </si>
  <si>
    <t>UA JET '23</t>
  </si>
  <si>
    <t>3026634-006</t>
  </si>
  <si>
    <t>Поднимите свою игру на новый уровень с Under Armour JET '23 – кроссовками, созданными для тех, кто готов доминировать на площадке. Эти кроссовки – воплощение скорости, стабильности и комфорта для баскетболистов, стремящихся контролировать игру в каждом своём движении.
Прочный сетчатый верх с синтетическими накладками JET '23 обеспечивает великолепную поддержку и дышащие свойства, дополненные удобной конструкцией, которая обволакивает вашу стопу, поддерживая её во всех направлениях. Плотно сидящий как вторая кожа, верх обеспечивает баланс между подвижностью и стабильностью, которая необходима при быстрых сменах направлений.
Полноценная вставка EVA в средней подошве гарантирует подавление ударных воздействий и предоставляет надежную амортизацию при каждом прыжке и посадке. Интегрированный TPU-шанк на подошве укрепляет конструкцию кроссовка, улучшая изгиб стопы и стабильность на площадке.
Внешняя подошва JET '23 с уникальным рисунком обеспечивает превосходное сцепление, позволяя вам маневрировать и делать резкие движения с полной уверенностью. Резина разработана для высокоизносостойких зон, обеспечивая долговечность кроссовок даже при интенсивной игровой нагрузке.
Under Armour JET '23 – это сочетание производительности и стиля, специально разработанное для игроков, которые изо всех сил стремятся к победе. Наденьте их и откройте для себя, как расширять свои спортивные горизонты с каждым движением на баскетбольной площадке.</t>
  </si>
  <si>
    <t>верх: 46% кожа, 39% текстиль, 15% синт.материалы, подкладка: текстиль, подошва: 100% резина</t>
  </si>
  <si>
    <t>3028261-001</t>
  </si>
  <si>
    <t>верх: текстиль, иск.кожа, подкладка: текстиль, подошва: резина</t>
  </si>
  <si>
    <t>3023559-603</t>
  </si>
  <si>
    <t>UA HOVR Sonic всегда был отичным выбором для бегунов, которые любят дистанции, но хотят большей гибкости. И теперь, благодаря коучингу форм в реальном времени от UA MapMyRun, UA HOVR Sonic 4 также поможет вам стать лучше бегуном. ПОДКЛЮЧАЕТСЯ К UA MAPMYRUN: отслеживает и анализирует ваши беговые показатели, чтобы помочь вам стать лучше. Технология UA HOVR обеспечивает «ощущение невесомости» для поддержания возврата энергии, что помогает устранить удары. Сжатая сетка Energy Web содержит и формирует пену UA HOVR для возврата энергии. Легкий верх из искусственной сетки для максимальной воздухопроницаемости. Язык прикреплен к стельке с помощью эластичных опорных крыльев для плотного прилегания по всей стопе. Цельная конструкция пятки с наружным задником из ТПУ для дополнительной поддержки и структуры. Особая износостойкая резина под пяткой для поглощения контакта с землей и большей долговечности. Перепад: 8 мм Вес: 232 грамма.</t>
  </si>
  <si>
    <t>Верх: 92% текстиль,8% синтетический материал~Подошва: 100% резина</t>
  </si>
  <si>
    <t>UA Charged Bandit TR 3 SP</t>
  </si>
  <si>
    <t>3028657-100</t>
  </si>
  <si>
    <t>Under Armour UA Charged Bandit TR 3 SP предназначены для тех, кто не боится исследовать новые горизонты. Легкость и вентиляция верхних материалов делают их идеальными для интенсивных нагрузок. Они обеспечивают уверенность и комфорт на любых поверхностях благодаря надежной подошве и вниманию к деталям. Верх из синтетических материалов и текстиля позволяет ноге дышать, сохраняя легкость и комфорт даже в интенсивных условиях.
- Подкладка из текстиля мягко поддерживает стопу, снижая трение и обеспечивая дополнительный уют.
- Резиновая подошва с отличным сцеплением подходит для различных поверхностей, улучшая вашу устойчивость и безопасность.
- Классическая шнуровка позволяет точно регулировать посадку, обеспечивая надежную фиксацию на протяжении всего дня.
- Эти кроссовки идеально адаптируются к любым тропам и тренировкам, предлагая баланс между легкостью и надежностью.
- Незаменимы для любителей активного отдыха, они превратят ваши тренировки на открытом воздухе в комфортное приключение.</t>
  </si>
  <si>
    <t>верх: 60% синт.материалы, 40% текстиль, подошва: 100% резина</t>
  </si>
  <si>
    <t>UA Charged Pursuit 3</t>
  </si>
  <si>
    <t>3024878-005</t>
  </si>
  <si>
    <t>Беговые кроссовки Under Armour Charged Pursuit 3 отлично подойдут бегунам, которым нужен баланс гибкости и амортизации. Данная обувь выполнена из текстиля, что обеспечивает легкую поддержку и улучшенную воздухопроницаемость.
• Сетчатый верх обеспечивает отличную воздухопроницаемость
• Встроенная стелька повышает амортизационные способности
• Промежуточная подошва Charged Cushioning с использованием прессованной пены для долговечности, обеспечивает оптимальную амортизацию и возврат энергии
• Подошва со специальным рисунком протектора обеспечивает гибкость и надежное сцепление с поверхностью
Перепад (пятка-носок) составляет 8 мм.</t>
  </si>
  <si>
    <t>черный/желтый</t>
  </si>
  <si>
    <t>верх: 54% текстиль, 46% синтетический материал, подкладка: текстиль, подошва: 80% резина, 20% ЭВА</t>
  </si>
  <si>
    <t>UA W Charged Pursuit 4 BL</t>
  </si>
  <si>
    <t>6000598-102</t>
  </si>
  <si>
    <t>Главное здесь — лёгкость и гибкость. Много сетчатого материала для воздухопроницаемости и технология Charged Cushioning® для защиты от ударов. Просто наденьте их и бегайте километры.
Двухцветный дышащий сетчатый верх обеспечивает легкость, фиксацию и комфорт при каждом шаге.
Роскошная стелька из пеноматериала принимает форму вашей стопы, обеспечивая комфорт при каждом шаге.
Амортизирующая промежуточная подошва Charged+ обеспечивает непревзойденную мягкость и комфорт, а также возврат энергии для поддержки на протяжении многих километров.
Резиновая подошва обеспечивает сцепление и долговечность, а стратегически расположенные гибкие канавки обеспечивают правильное отталкивание от земли.</t>
  </si>
  <si>
    <t>верх: 99% текстиль, 1% синт.материалы, подкладка: текстиль, подошва: 100% резина</t>
  </si>
  <si>
    <t>3023561-602</t>
  </si>
  <si>
    <t>UA Charged Valsetz</t>
  </si>
  <si>
    <t>3027381-001</t>
  </si>
  <si>
    <t>Ботинки UA Charged Valsetz – это идеальное сочетание прочности, комфорта и современного дизайна. Разработаны для тех, кто нуждается в надежной обуви для активных приключений и работы в сложных условиях. Верх выполнен из прочного синтетического материала, обеспечивающего отличную защиту и долговечность. Технология Charged Cushioning® в подошве обеспечивает превосходную амортизацию и отзывчивость, снижая нагрузку на ноги при длительном ношении. Подошва из резины гарантирует надежное сцепление с различными поверхностями, обеспечивая безопасность на каждом шагу. Легкие и удобные, эти ботинки станут вашим надежным спутником в любых условиях.</t>
  </si>
  <si>
    <t>3024894-103</t>
  </si>
  <si>
    <t>верх: 54% текстиль, 46% синтетическое волокно, подкладка: текстиль, подошва: 58% резина, 42% ЭВА</t>
  </si>
  <si>
    <t>3028512-001</t>
  </si>
  <si>
    <t>UA W Speedform Slingshot 2</t>
  </si>
  <si>
    <t>3000097-602</t>
  </si>
  <si>
    <t>Беговые кроссовки Under Armour Speedform Slingshot 2 Running Shoes выполнены из сетчатого текстиля Threadborne. Благодаря инновационной структуре UA SpeedForm кроссовок принимает форму ступни для более точной посадки и снижает риск растяжения. Текстильный верх обеспечивает отличную воздухопроницаемость. Жесткий задник удерживает ногу на месте и предотвращает проскальзывание. Промежуточная подошва выполнена из сочетания Charged Cushioning и легкой пены EVA для быстрого и комфортного бега. Высокоабразивная резина на пятке для долговечного надежного сцепления на любой поверхности. Перепад 6 мм.</t>
  </si>
  <si>
    <t>70% текстиль, 30% полимер</t>
  </si>
  <si>
    <t>UA BPS RailFit 1</t>
  </si>
  <si>
    <t>3020210-001</t>
  </si>
  <si>
    <t>Верх из двухслойной сетки и мягкого пеноматериала обеспечивает гибкую и облегающую поддержку.
Промежуточная подошва из ЭВА для обеспечения отличной отзывчивости, оптимальной амортизации и взрывного возврата энергии.
Эластичный пяточный ремешок фиксируется на задней части стопы.
Встроенная стелька для комфорта при ходьбе.
Подошва с рельефной текстурой и резиновой вставкой для повышенной прочности и сцепления.
Система шнуровки Rail Fit имеет подвижные петли для шнурков, которые скользят вперед и назад для полностью регулируемой посадки.
Наденьте конструкцию для быстрого и легкого входа.</t>
  </si>
  <si>
    <t>10,5K</t>
  </si>
  <si>
    <t>UA Forge 96 CLRSHFT</t>
  </si>
  <si>
    <t>3022281-001</t>
  </si>
  <si>
    <t>UA Forge 96 CLRSHFT - это кроссовки, созданные для тех, кто стремится преодолеть границы и проявить свою индивидуальность. Эти кроссовки воплощают смелый и энергичный стиль, идеально подходящий для городской жизни и спортивных занятий. Изготовленные с использованием передовых технологий, кроссовки UA Forge 96 CLRSHFT обеспечивают максимальную амортизацию и поддержку, чтобы вы могли преодолевать любые поверхности и дистанции. Их удобная подошва обеспечивает отличное сцепление с поверхностью, что позволяет вам чувствовать себя уверенно и стабильно. UA Forge 96 CLRSHFT отличаются от остальных своим смелым и стильным дизайном. Яркие цветовые комбинации и нестандартная форма придают им неповторимый вид, который подчеркнет вашу индивидуальность и стиль. Они станут отличным дополнением к вашему городскому образу и будут привлекать восхищенные взгляды окружающих. Не ограничивайте себя обычными кроссовками, выберите кроссовки UA Forge 96 CLRSHFT и выделитесь среди остальных. Они объединяют в себе стиль, комфорт и производительность, чтобы помочь вам достичь новых высот и преодолеть любые преграды.</t>
  </si>
  <si>
    <t>верх: 87% синтетические материалы, 13% текстиль, подкладка: текстиль, подошва: 100% резина</t>
  </si>
  <si>
    <t>UA W Charged Pursuit 2</t>
  </si>
  <si>
    <t>3022604-601</t>
  </si>
  <si>
    <t>Кроссовки выполнены из лёгкого воздухопроницаемого текстиля. Сетчатый верх обеспечивает отличную воздухопроницаемость в местах, где это необходимо. Двухслойная подушечка Cushioning, размещенная под пяткой и ниже передней части стопы, обеспечивает противоударное действие и предотвращает натирание ноги. Глубокий узор на подошве позволяет обуви лучше гнуться, не стесняя динамику стопы. Мягкая амортизирующая пена Charged обеспечит поглощение ударной энергии и отличную амортизацию во время бега. Усиленная пятка для надёжной фиксации позволит избежать подворотов и различных травм. Светоотражающие элементы повысят вашу видимость в темноте, сделав вашу тренировку безопасней в ночное время суток. Средний вес женской версии: 211 гр.
Перепад (пятка-носок) составляет 8 мм.</t>
  </si>
  <si>
    <t>86% текстиль  14% синтетика, подкладка 100% текстиль, подошва 100% резина</t>
  </si>
  <si>
    <t>UA W HOVR Infinite 3</t>
  </si>
  <si>
    <t>3023556-002</t>
  </si>
  <si>
    <t>Эта модель кроссовок подходит бегунам, которым важен оптимальный баланс гибкости и амортизации. UA HOVR Infinite 3 оснащены сенсором Record Sensor и могут выступать в качестве "тренера", если подключить их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На подошве расположены глубокие канавки для максимальной гибкости в ключевых областях. Накладки из углеродистой резины под пяткой повышают сцепление с поверхностью и износостойкость. Сверхлегкий сетчатый верх улучшает воздухопроницаемость и обеспечивает надежную поддержку стопы, что особенно важно при беге на скорость. В районе пятки предусмотрен дополнительный внутренний фиксатор, а вырезанная по всей длине стелька из EVA предотвращает соскальзывание и гарантирует максимальный комфорт.</t>
  </si>
  <si>
    <t>71% текстиль, 29% синтетика, подкладка текстиль, подошва 64% резина, 36% ЭВА</t>
  </si>
  <si>
    <t>3023559-601</t>
  </si>
  <si>
    <t>UA W Victory</t>
  </si>
  <si>
    <t>3023640-001</t>
  </si>
  <si>
    <t>Прочная, легкая и дышащая конструкция для повседневных прогулок. Легкий, дышащий сетчатый верх с синтетическими накладками для дополнительной прочности и поддержки. Перфорированная панель в средней части стопы для дополнительной вентиляции. Полноразмерная стелька из EVA для дополнительного комфорта и индивидуальной подгонки. Мягкая промежуточная подошва из EVA обеспечивает легкую и отзывчивую хотьбу. Твердая резиновая подошва покрывает зоны с высокой ударной нагрузкой для большей прочности с меньшим весом.</t>
  </si>
  <si>
    <t>64% текстиль, 36% синтетический материал</t>
  </si>
  <si>
    <t>3024131-001</t>
  </si>
  <si>
    <t>3024131-105</t>
  </si>
  <si>
    <t>UA Charged Bandit TR 2</t>
  </si>
  <si>
    <t>3024186-001</t>
  </si>
  <si>
    <t>Специально разработан для трейлраннинга, с сумасшедшей амортизацией, сцеплением даже с грязной местностью и дополнительной защитой, необходимой бегунам для бега по пересеченной местности. Легкая конструкция верха из двухцветной сетки для улучшенной вентиляции. Стратегические накладки для дополнительной прочности и защиты в зонах с высоким уровнем абразивного износа. Формованная стелька плотно прилегает к стопе, предотвращая скольжение и обеспечивая идеальный комфорт под стопой. В межподошве Charged Cushioning используется формованная под давлением пена для максимальной долговечности. Прочная подошва с техническими выступами для максимального сцепления при подъеме и спуске.</t>
  </si>
  <si>
    <t>верх: 58% синтетический материал, 42% текстиль, подкладка: 100% полиэстер, подошва: 100% резина</t>
  </si>
  <si>
    <t>UA Charged Bandit TR 2-GRY</t>
  </si>
  <si>
    <t>3024186-102</t>
  </si>
  <si>
    <t>серый, черный</t>
  </si>
  <si>
    <t>UA Charged Rogue 3-BLK</t>
  </si>
  <si>
    <t>3024877-001</t>
  </si>
  <si>
    <t>3024878-001</t>
  </si>
  <si>
    <t>верх: 86% текстиль, 14% синтетическое волокно, подкладка: текстиль, подошва: 70% резина, 30% ЭВА</t>
  </si>
  <si>
    <t>3024878-002</t>
  </si>
  <si>
    <t>Кроссовки UA Charged Pursuit 3 от Under Armour предлагают исключительный комфорт и поддержку для спортсменов, стремящихся к максимальным достижениям. Эта модель выполнена в классическом цвете и изготовлена из 86% текстиля и 14% полиэстера. Технология Charged Cushioning обеспечивает превосходную амортизацию и возврат энергии, позволяя сохранять высокий уровень производительности весь день. Легкий сетчатый верх способствует отличной вентиляции и поддерживает оптимальное прилегание. Защитные усиления в ключевых зонах гарантируют долговечность и износостойкость, увеличивая срок службы обуви. Подъязычник и воротник с мягкой подкладкой добавляют комфорта и предотвращают натирание, обеспечивая непрерывный комфорт при каждом шаге.
- Технология Charged Cushioning в UA Charged Pursuit 3 обеспечивает энергоэффективную амортизацию, увеличивая производительность атлета и снижая его утомляемость.
- Легкий сетчатый верх из текстиля максимизирует вентиляцию, сохраняя прохладу и комфорт при самых активных нагрузках.
- Усиления в контактных зонах подошвы улучшили износостойкость, продлевая срок службы спортивных кроссовок.
- Инновационная структура поддержки адаптируется к естественному движению стопы, предотвращая дискомфорт и усталость.
- Подъязычник и воротник с мягкой подкладкой обеспечивают непрерывный комфорт, защищая от натираний.</t>
  </si>
  <si>
    <t>3024878-104</t>
  </si>
  <si>
    <t>3024878-401</t>
  </si>
  <si>
    <t>3024883-001</t>
  </si>
  <si>
    <t>3024883-405</t>
  </si>
  <si>
    <t>3024889-101</t>
  </si>
  <si>
    <t>3024889-602</t>
  </si>
  <si>
    <t>3024894-001</t>
  </si>
  <si>
    <t>3025060-105</t>
  </si>
  <si>
    <t>Откройте для себя идеальное сочетание стиля и функциональности с кроссовками UA W Charged Aurora 2 от Under Armour! Эти легкие и стильные кроссовки — настоящий маст-хэв для активных женщин, которые не хотят выбирать между комфортом и модой. Чудеса начинаются с момента, как только вы шагаете в эти кроссовки благодаря встроенной технологии Charged Cushioning. Эта пена не только амортизирует каждый ваш шаг, но и возвращает энергию, обеспечивая невероятное ускорение и легкость движений. Сетчатый верх обеспечивает исключительную вентиляцию, поддерживая ваши ноги в прохладе и комфорте в течение всей тренировки. Структурированные кожаные накладки на области пятки и носка усиливают защиту и долговечность, а элегантный дизайн и спектр цветов подчеркивают вашу индивидуальность и добавляют акцент в спортивный образ. Идеальное сцепление с поверхностью гарантировано благодаря резиновой подошве с уникальным растровым рисунком. UA W Charged Aurora 2 подходят для любого типа тренировок, будь то бег, занятия в зале или активный отдых на свежем воздухе. С UA W Charged Aurora 2 вы буквально почувствуете ветер перемен — они созданы для того, чтобы вы двигались вперед быстро и уверенно, не теряя при этом ощущения легкости и комфорта. Выберите эти кроссовки и покорите новые высоты вместе с Under Armour!</t>
  </si>
  <si>
    <t>верх: 60% текстиль, 40% синт.материалы, подошва: 100% резина</t>
  </si>
  <si>
    <t>UA Charged Impulse 3-BLK</t>
  </si>
  <si>
    <t>3025421-001</t>
  </si>
  <si>
    <t>UA Charged Impulse 3 - это воплощение скорости и энергии, созданных для вас, чтобы преодолевать любые границы. Эти кроссовки сочетают в себе легкий и воздушный внешний вид с непревзойденным комфортом и функциональностью. Система уникальной технологии Charged Cushioning обеспечивает мгновенную амортизацию и упругость, что позволяет вам чувствовать себя как на подушке во время каждого шага. Таким образом, вы можете достичь высоких результатов в тренировках или спортивных мероприятиях. UA Charged Impulse 3 обладают дышащим и хорошо вентилируемым верхом, которое обеспечивает сохранение прохладного и комфортного состояния ваших ног даже в условиях повышенной нагрузки. Это позволяет вам наслаждаться активным образом жизни и демонстрировать невероятные результаты. Прочная подошва из высококачественной резины обеспечивает превосходное сцепление с любой поверхностью. Будь то бег по асфальту или тренировка в тренажерном зале, эти кроссовки обеспечат вам стабильность и безопасность. UA Charged Impulse 3 - это не просто кроссовки. Это ваше оружие для преодоления самых высоких стандартов и достижения поставленных целей. Возьмите на себя роль лидера и покажите всему миру, что вы готовы к новым вызовам и победам.</t>
  </si>
  <si>
    <t>верх: 63% текстиль, 37% синтетический материал, подкладка: текстиль, подошва: резина</t>
  </si>
  <si>
    <t>12,5</t>
  </si>
  <si>
    <t>UA Charged Impulse 3</t>
  </si>
  <si>
    <t>3025421-003</t>
  </si>
  <si>
    <t>3025424-102</t>
  </si>
  <si>
    <t>UA HOVR Sonic 5 DSD</t>
  </si>
  <si>
    <t>3025447-001</t>
  </si>
  <si>
    <t>Under Armour Hovr Sonic 5 - это кроссовки для любителей стиля и функциональности. Инновационная технология HOVR обеспечивает идеальный баланс между амортизацией и откликом на каждом шагу, что позволяет достичь максимальной производительности и комфорта во время тренировок. Кроссовки выполнены в современном дизайне, который гармонично сочетает в себе функциональность и эстетику. Технология Micro G позволяет эффективно управлять энергией, улучшая скорость и выносливость. Кроме того, эластичный верх из сетчатого материала позволяет ноге дышать, обеспечивая свежесть и комфорт на протяжении всей тренировки. Under Armour Hovr Sonic 5 - кроссовки, которые помогут вам достигать новых высот в тренировках и выразить свой стиль жизни.</t>
  </si>
  <si>
    <t>верх: синтетические материалы, подкладка: текстиль, подошва: резина</t>
  </si>
  <si>
    <t>UA HOVR Phantom 3-WHT</t>
  </si>
  <si>
    <t>3025516-104</t>
  </si>
  <si>
    <t>Быстрые и эластичные кроссовки UA HOVR Phantom 3 помогут вам двигаться эффективнее благодаря еще большей амортизации UA HOVR, возвращающей энергию. 
Мягкий, эластичный верх из UA IntelliKnit для превосходной воздухопроницаемости и комфорта при носке.
Формованная вставка в средней части стопы для дополнительной структуры и мягкой внутренней амортизации.
Вязаный воротник для удобства надевания и ощущение мягкости, а также внешняя пятка для стабильной поддержки.
Ультра-дышащая стелька SpeedForm 2.0 обеспечивает мягкую поддержку стопы.
Отзывчивая амортизация UA HOVR снижает ударную нагрузку, возвращает энергию и помогает двигаться вперед.
Цельнорезиновая подошва со стратегическим рисунком для повышенного сцепления и долговечности.
Перепад высоты 9 мм.
Вес: 11,1 унций.</t>
  </si>
  <si>
    <t>91% тектстиль, 9% синтетическое волокно, подошва резина</t>
  </si>
  <si>
    <t>UA HOVR Phantom 3-RED</t>
  </si>
  <si>
    <t>3025516-603</t>
  </si>
  <si>
    <t>красный/белый/черный</t>
  </si>
  <si>
    <t>91%тектстиль, 9% синтетическое волокно, 100% резина</t>
  </si>
  <si>
    <t>UA HOVR Phantom 3 RFLCT</t>
  </si>
  <si>
    <t>3025518-003</t>
  </si>
  <si>
    <t>UA HOVR Phantom 3 RFLCT - это кроссовки, созданные для тех, кто тренируется даже в темное время суток. Они оснащены специальной технологией, которая обеспечивает максимальную светодиодную рефлективность, что позволяет выделить вас на фоне темноты и повышает вашу видимость в любое время суток. Кроме того, кроссовки имеют вентилируемую подошву и перфорированный верх, что позволяет воздуху свободно циркулировать и снижает риск перегрева ваших ног. Кроссовки оснащены инновационной технологией HOVR, которая обеспечивает максимальную амортизацию и поддержку во время тренировок. Вы можете забыть о постоянных болях и дискомфорте при беге на дистанции, благодаря оптимальному комфорту и поддержке этих кроссовок. Стильный дизайн и высокая функциональность UA HOVR Phantom 3 RFLCT - лучший выбор для тех, кто желает продуктивно заниматься спортом в любое время суток. Выберите уверенность и безопасность в каждом шаге с UA HOVR Phantom 3 RFLCT.</t>
  </si>
  <si>
    <t>черный/зеленый</t>
  </si>
  <si>
    <t>верх: 89% текстиль, 11% синтетический материал, подкладка: текстиль, подошва: резина</t>
  </si>
  <si>
    <t>3025527-001</t>
  </si>
  <si>
    <t>UA Charged Commit TR 4</t>
  </si>
  <si>
    <t>3026017-105</t>
  </si>
  <si>
    <t>Кроссовки UA Charged Commit TR 4 - это универсальный тренажер, созданный для тех, кто не знает преград в достижении своих целей. Эти стильные и комфортные кроссовки подходят как для интенсивных тренировок в зале, так и для активного отдыха на свежем воздухе, составляя при этом эталон качества и долговечности. Использование проверенной временем технологии Charged Cushioning® от Under Armour обеспечивает высококачественное смягчение ударных нагрузок и обладает отличными восстановительными характеристиками. Это сделает каждый ваш шаг максимально комфортным и эффективным, позволяя сохранять энергию и уменьшать усталость в ногах. Верх кроссовок выполнен из легкого и прочного материала, который гарантирует необходимую воздухопроницаемость и комфорт во время тренировок. Адаптивная конструкция обуви плотно облегает стопу, обеспечивая поддерживающую и безопасную посадку во время любых движений.</t>
  </si>
  <si>
    <t>верх: 61% кожа, 25% текстиль, 14% синт.материалы, подошва: 100% резина</t>
  </si>
  <si>
    <t>UA HOVR Sonic 6</t>
  </si>
  <si>
    <t>3026121-001</t>
  </si>
  <si>
    <t>верх: 88% текстиль, 12% синтетика, подкладка: текстиль, подошва: резина</t>
  </si>
  <si>
    <t>3026121-003</t>
  </si>
  <si>
    <t>верх 88% текстиль, 12% синт.материалы, подошва 100% резина</t>
  </si>
  <si>
    <t>UA HOVR Sonic 6-BLK</t>
  </si>
  <si>
    <t>3026121-005</t>
  </si>
  <si>
    <t>черный/зеленый/красный</t>
  </si>
  <si>
    <t>UA HOVR Sonic 6-GRN</t>
  </si>
  <si>
    <t>3026121-300</t>
  </si>
  <si>
    <t>UA Charged Breeze 2</t>
  </si>
  <si>
    <t>3026135-001</t>
  </si>
  <si>
    <t>UA Charged Breeze 2 - это идеальный выбор для тех, кто ищет легкие, комфортные и стильные кроссовки для активного образа жизни. Благодаря инновационной технологии Charged Cushioning, эти кроссовки обеспечивают непревзойденную амортизацию и поддержку, позволяя вам оставаться комфортными на протяжении всего дня. Специально разработанная верхняя часть из сетчатого материала позволяет вашим ногам дышать и оставаться прохладными даже в самых жарких условиях. Усиленная конструкция обеспечивает оптимальную поддержку стопы при каждом движении. UA Charged Breeze 2 оснащены прочной резиновой подошвой, которая обеспечивает надежное сцепление с любой поверхностью. Это позволяет вам быть уверенными в стабильности и безопасности даже при интенсивных тренировках или прогулках по городу. Стильный дизайн UA Charged Breeze 2 дополнит ваш лук, без ущерба для комфорта и функциональности. Эти кроссовки станут вашим надежным спутником, помогая достигать ваших целей в спорте и моде. UA Charged Breeze 2 - это не просто кроссовки, это инструмент для достижения успеха в вашей активной жизни. Не упускайте возможность приобрести их и стать настоящими лидерами в своей области.</t>
  </si>
  <si>
    <t>3026135-002</t>
  </si>
  <si>
    <t>Кроссовки UA Charged Breeze 2 от Under Armour — это идеальное сочетание стиля и практичности, созданное для бегунов, стремящихся достичь новых высот. Выполненные в элегантном черном цвете, они изготовлены из 85% текстиля и 15% полиэстера, что означает легкость и удобство в каждом шаге. Технология Charged Cushioning помогает обеспечить мягкую амортизацию и динамичный отклик, улучшая каждый шаг. Сетчатый верх обеспечивает превосходную вентиляцию, сохраняя ноги прохладными и свежими. Эти кроссовки гарантируют идеальное прилегание и надежную фиксацию благодаря интегрированной системе шнуровки, которая обволакивает стопу.
- Технология Charged Cushioning в UA Charged Breeze 2 обеспечивает непревзойденное сочетание амортизации и отклика, уменьшая усталость.
- Легкий сетчатый верх из текстиля максимизирует дышащие свойства, обеспечивая комфорт даже в жаркую погоду.
- Интегрированная система шнуровки гарантирует индивидуальное прилегание, создавая безопасность и уверенность при каждом шаге.
- Прочная наружная подошва обеспечивает надежное сцепление на различных поверхностях, улучшая стабильность и контроль в любых погодных условиях.
- Материалы премиум-класса гарантируют долговечность обуви, поддерживая внешний вид и эксплуатационные свойства.
- Поддержка и амортизация обуви делают их идеальным выбором для тех, кто стремится к высокоэффективным тренировкам.</t>
  </si>
  <si>
    <t>верх: 85% текстиль, 15% синт.материалы, подкладка: текстиль, подошва: 50% резина, 50% ЭВА</t>
  </si>
  <si>
    <t>UA Charged Breeze 2-GRY</t>
  </si>
  <si>
    <t>3026135-108</t>
  </si>
  <si>
    <t>Мужские беговые кроссовки.
Легкий дышащий сетчатый верх для лучшей вентиляции
Формованная стелька принимает форму стопы, устраняя скольжение и обеспечивая идеальный комфорт под ногами.
В промежуточной подошве Charged Cushioning используется прессованная пена для максимальной отзывчивости и долговечности.
Подошва из твердой резины со стратегически расположенными вставками для дополнительной прочности в зонах с высоким уровнем истирания.</t>
  </si>
  <si>
    <t>верх: 85% текстиль, 15% синт.материалы~подошва: 50% резина, 50% ЭВА</t>
  </si>
  <si>
    <t>UA Charged Maven Trail</t>
  </si>
  <si>
    <t>3026136-002</t>
  </si>
  <si>
    <t>верх: 53% синт.материалы, 47% текстиль, подкладка: текстиль, подошва: 100% резина</t>
  </si>
  <si>
    <t>UA W Charged Breeze 2</t>
  </si>
  <si>
    <t>3026142-301</t>
  </si>
  <si>
    <t>Кроссовки UA W Charged Breeze 2 - воплощение легкости и комфорта, предназначены для тех, кто ищет плавность и уверенность в каждом шаге. Эти женские беговые кроссовки от Under Armour идеально подходят для длительных тренировок, конкурентных забегов или просто для повседневного комфорта. Применение инновационной Charged Cushioning® подошвы придает этим кроссовкам отличные смягчающие свойства, обеспечивая энергетический возврат при каждом приземлении. Это дает бегуну дополнительную энергию и содействует более эффективному и менее утомительному бегу. Специально разработанный для вентиляции верх выполнен из легкой и дышащей сетки, которая поддерживает оптимальный климат стопы, предохраняя ноги от перегрева и излишней влаги. Такой материал способствует длительному комфорту во время ношения и исключает ощущение тяжести, что крайне важно для бегунов всех уровней подготовки.</t>
  </si>
  <si>
    <t>бирюзовый</t>
  </si>
  <si>
    <t>верх: 85% текстиль; 15% синтетика   низ:  50% резина; 50% Этиленвинилацетат</t>
  </si>
  <si>
    <t>3026175-001</t>
  </si>
  <si>
    <t>3026518-002</t>
  </si>
  <si>
    <t>верх: текстиль, подкладка: текстиль, подошва: 70% резина, 30% этиленвинилацетат (ЭВА)</t>
  </si>
  <si>
    <t>3026518-400</t>
  </si>
  <si>
    <t>верх: 100% текстиль, подкладка: текстиль, подошва: 70% резина,30% этиленвинилацетат (эва)</t>
  </si>
  <si>
    <t>3026520-116</t>
  </si>
  <si>
    <t>верх: 76% текстиль, 24% синт.материалы, подкладка: текстиль, подошва: 100% резина</t>
  </si>
  <si>
    <t>3026520-600</t>
  </si>
  <si>
    <t>3026525-101</t>
  </si>
  <si>
    <t>3026525-695</t>
  </si>
  <si>
    <t>Кроссовки Under Armour Hovr Turbulence 2 предназначены для бегунов на длинные дистанции, которым необходима идеальная комбинация амортизации, отскока, долговечности и эффективности. И это именно то, что вы получаете с UA HOVR Turbulence — отзывчивую амортизацию, плавность хода и невероятный комфорт.  Подходят для: ежедневных тренировок по вашему виду спорта. Дышащий вязаный верх обеспечивает долговечность и легкую защиту. Стелька с системой комфорта Deluxe обеспечивает максимальный комфорт при ходьбе. Отзывчивая амортизация UA HOVR снижает удары, возвращает энергию и помогает двигаться вперед. Прочная резиновая подошва обеспечивает сцепление, долговечность и гибкость при отрыве носка.</t>
  </si>
  <si>
    <t>UA PROJECT ROCK 6</t>
  </si>
  <si>
    <t>3026534-100</t>
  </si>
  <si>
    <t>Кроссовки UA PROJECT ROCK 6 – это сочетание передовых технологий, непревзойденного комфорта и мощного дизайна, созданные специально для тех, кто стремится к максимальной производительности и непреклонно идет к своим целям. Вдохновленные философией Двейна "Скалы" Джонсона, эти кроссовки станут вашим надежным союзником как в зале, так и за его пределами.
- Материал и конструкция: Верх кроссовок выполнен из легкого и дышащего материала, который обеспечивает отличную вентиляцию и гарантирует комфорт во время длительных тренировок. Усиленные накладки в ключевых зонах повышают прочность и долговечность обуви, помогая ей выдерживать самые интенсивные нагрузки.
- Подошва и амортизация: Удобренная амортизационная система UA HOVR™ обеспечивает ощущение гравитационной стабильности и возвращает энергию от каждого шага, минимизируя нагрузку на суставы. Резиновая подошва с многослойным протектором обеспечивает превосходное сцепление с любыми поверхностями и стабильность движений.
- Функциональный дизайн: Разработанная анатомическая форма и улучшенная конструкция пятки обеспечивают надежную фиксацию стопы, минимизируя риск травм. Гибкие зональные вставки позволяют двигаться естественно и свободно.
- Комфорт и подгонка: Кроссовки оснащены мягким и эргономичным внутренним слоем, который комфортно охватывает ногу и предотвращает натирание. Специально разработанная система шнуровки позволяет быстро и надежно зафиксировать обувь, подстраивая ее под индивидуальные особенности стопы.
- Стиль и символика: Эмблема Project Rock на язычке и боковых панелях – это символ силы воли и не останавливаться на достигнутом. Лаконичный и современный дизайн кроссовок позволяет легко сочетать их с различными элементами спортивной и повседневной одежды.
- Универсальность: Эти кроссовки идеально подходят для самых разных видов тренировок – от HIIT и тяжёлой атлетики до кардионагрузок и повседневного бега. Они отлично сочетаются с вашим спортивным и повседневным гардеробом, добавляя нотку стиля и функциональности.
Кроссовки UA PROJECT ROCK 6 – это ваш надежный партнер на пути к новым достижениям. Наденьте их и воплотите свои амбиции в реальность, руководствуясь философией неутомимого труда и несгибаемой решимости!</t>
  </si>
  <si>
    <t>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 UA TriBase. Технология кроссовок для тренировок в зале для лучшего сцепления, стабильности. Обеспечивает максимальный контроль над опорной поверхностью благодаря трем точкам контакта.  Широкая средняя часть кроссовка, эластичные задник и язычок обеспечивают надежную фиксацию. Дышащая ткань с упрочненной структурой плетения волокон и высота ботинка защищают ногу во время упражнений.</t>
  </si>
  <si>
    <t>верх: 63% полиэстер, 37% полиуретан, подкладка: тектсиль, подошва: 100% резина</t>
  </si>
  <si>
    <t>UA HOVR Infinite 5</t>
  </si>
  <si>
    <t>3026545-002</t>
  </si>
  <si>
    <t>Поддержка, которую вам нужно оттачивать сильнее. Созданы с надежной посадкой и мягкой пружинистой амортизацией UA HOVR , чтобы ваши ноги дольше оставались свежими — поэтому, когда тренер говорит команде продолжать бежать, вы можете ускорить темп. Подходит для: длительных и повседневных пробежек с надежной посадкой. Легкий и дышащий верх из специальной сетки со стратегической поддержкой там, где это необходимо. Воротник на пятке обеспечивает дополнительный комфорт и фиксацию. Стелька, отлитая в 3D, удерживает стопу, обеспечивая повышенный комфорт при ходьбе. Отзывчивая амортизация UA HOVR снижает удары, возвращает энергию и помогает двигаться вперед. Комбинация углеродистой и выдувной резины в подошве для стратегической прочности и легкого отскока. Перепад (мм): 8, Вес (г): 284. Нейтральная пронация.</t>
  </si>
  <si>
    <t>верх: 98% текстиль, 2% синт.материалы, подошва резина</t>
  </si>
  <si>
    <t>3026545-006</t>
  </si>
  <si>
    <t>UA HOVR Sonic 6 Storm-GRN</t>
  </si>
  <si>
    <t>3026548-300</t>
  </si>
  <si>
    <t>белый/розовый/фиолетовый</t>
  </si>
  <si>
    <t>3026582-001</t>
  </si>
  <si>
    <t>Беговые кроссовки Under Armour Hovr Phantom 3 Se обеспечивают стабильность и амортизацию.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комфорта.Верх выполнен из текстиля для дополнительной воздухопроницаемостиЖесткий задник удерживает ногу на месте и предотвращает проскальзываниеСистема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использованияПолноразмерная резиновая подошва с уникальным рисунком протектора для износостойкости и лучшего сцепления с поверхностью</t>
  </si>
  <si>
    <t>UA Dynamic Select</t>
  </si>
  <si>
    <t>3026608-102</t>
  </si>
  <si>
    <t>Познакомьтесь с беговым инновационным шедевром – кроссовками Under Armour Dynamic Select. Смелый дизайн сочетает в себе технологические инновации и стильную эстетику, созданную для активных людей, ценящих мобильность и функциональность. Динамичные и универсальные, эти кроссовки предлагают безупречное слияние гибкости и структурированной поддержки. Мягкий, но прочный верх из сетки обеспечивает оптимальный воздухообмен, помогая поддерживать оптимальные условия для ваших ног, даже во время самых интенсивных тренировок. Сердечник этой модели – удивительная промежуточная подошва с технологией Charged Cushioning, которая гарантирует отличное сочетание мягкости и отклика, минимизируя ударную нагрузку и обеспечивая комфортное и энергичное движение. Доверьте ваш шаг надёжной внешней подошве, спроектированной для высокой износостойкости, которая интуитивно сцепляется с поверхностями, позволяя вам бежать уверенно и стабильно на разнообразных трассах. Форма и структура подошвы созданы, чтобы идеально подходить как к спокойным джоггингам, так и к скоростным спринтам. Under Armour Dynamic Select не только оживляют ваши беговые амбиции, но и в дохновляют ваш стиль. Эти кроссовки – не просто обувь, они – заявление о намерениях, отражение вашего стремления к прогрессу и совершенству. Выбирайте Under Armour Dynamic Select и пусть каждый шаг отразит ваш динамизм и стремление к постоянному развитию. Станьте не остановиться перед лицом в зовов, найдите свою скорость, осознайте свою мощь.</t>
  </si>
  <si>
    <t>верх: 51% текстиль, 49% синт.материалы, подошва: 100% резина</t>
  </si>
  <si>
    <t>UA W Dynamic Select</t>
  </si>
  <si>
    <t>3026609-001</t>
  </si>
  <si>
    <t>Кроссовки женские Under Armour Dynamic Select Fitness - это модель с дышащим и легким верхом из сетки. Формованный задник из ТПУ обеспечивает большую боковую поддержку, предотвращая скольжение и обеспечивая стабильность во время тренировок. Межподошва Charged Cushioning обладает отличными амортизирующими свойствами, поглощает удары при каждом шаге и возвращает энергию для более эффективных тренировок. Кроссовки имеют прочную конструкцию благодаря стратегически расположенным гибким канавкам, которые обеспечивают гибкость и устойчивость. Они прочные, дышащие, амортизирующие и обеспечивают необходимую поддержку от тренировки к тренировке. Легкий дышащий сетчатый верх. Мягкая стелька принимает форму вашей стопы, исключая проскальзывание и обеспечивая идеальный комфорт под ногами. Прочная резиновая подошва со стратегически расположенными гибкими канавками для сцепления с разными поверхностями и гибкости.
Резиновая подошва обеспечивает сцепление на различных поверхностях, что делает эти кроссовки идеальными для тренировок в зале или на улице.</t>
  </si>
  <si>
    <t>3026609-103</t>
  </si>
  <si>
    <t>3026634-001</t>
  </si>
  <si>
    <t>3026679-002</t>
  </si>
  <si>
    <t>Мужские кроссовки UA Charged Revitalize. Технология Charged Cushioning была разработана для защиты от ударов, ощущения мягкости и при этом отзывчивости.
Легкий текстильный верх дышащий и прочный.
Стелька с системой комфорта Deluxe повторяет форму вашей стопы, обеспечивая максимальный комфорт под ногами.
Межподошва Charged Cushioning отзывчива и долговечна, обеспечивая оптимальную отдачу энергии и комфорт в течение всего дня.
Прочная резиновая подошва со стратегическим рисунком для сцепления и гибкости там, где это необходимо.</t>
  </si>
  <si>
    <t>3026727-002</t>
  </si>
  <si>
    <t>Кроссовки UA Charged Edge от Under Armour — это олицетворение передовых технологий и стильного дизайна, созданные для современных атлетов, стремящихся к высшей эффективности. Изготовленные из 41% кожи, 39% текстиля и 20% полиэстера, они обеспечивают легкость и прочность. Продвинутый сетчатый верх гарантирует отличную циркуляцию воздуха, сохраняя ноги прохладными во время интенсивных нагрузок. Инновационная система амортизации Charged Cushioning превращает ударные нагрузки в мощные толчки, увеличивая динамику каждого шага. Усиленные зоны в конструкции увеличивают долговечность и поддержку без утяжеления. Структура внешней подошвы обеспечивает феноменальное сцепление и контроль, позволяя маневрировать с уверенностью на любых поверхностях.
- Амортизация Charged Cushioning в UA Charged Edge превращает ударные нагрузки в энергию, повышая динамичность и комфорт при каждом шаге.
- Воздухопроницаемый сетчатый верх обеспечивает отличную вентиляцию, поддерживая комфорт в условиях интенсивной нагрузки.
- Встроенные усиления в критических областях увеличивают долговечность и поддержку, не добавляя лишнего веса.
- Особенная структура подошвы с плотной текстурой улучшает сцепление и маневренность на любых поверхностях.
- Усовершенствованная конструкция повторяет натуральные движения стопы, улучшая вашу естественную силу и эффективность.
- Эти кроссовки — не только спортивный аксессуар, но и выражение стремления к победе, реализуя идеальный баланс технологии и стиля.</t>
  </si>
  <si>
    <t>3026727-003</t>
  </si>
  <si>
    <t>Взломайте правила игры с новейшими кроссовками Under Armour Charged Edge – созданы для атлетов, жаждущих четкости и гибкости в каждом шаге. Они укомплектованы передовой технологией и динамичным дизайном для того, чтобы вы оставались впереди конкуренции. Каждая деталь Charged Edge нацелена на повышение вашей эффективности. Современный верх сетчатого материала беспроблемно обеспечивает циркуляцию воздуха, сохраняя комфорт и прохладу ваших стоп в условиях высокой нагрузки. Встроенные усиления в критических зонах обуви гарантируют поддержку и долговечность, не добавляя лишнего веса. Сердце кроссовок – промежуточная подошва Charged Cushioning. Эта энергоотдающая система амортизации не только смягчает удары, но и преобразует их в отклик, что делает ваш следующий шаг еще более мощным. Подошва обещает комфорт даже при марафонских дистанциях, даря вам уверенность в каждой походке. Плотные текстуры внешней подошвы расширяют границы сцепления с поверхностью, обеспечивая вас феноменальным контролем и маневренностью. Отточенная конструкция кроссовка соответствует природному движению стопы, усиливая вашу естественную силу. Under Armour Charged Edge – больше чем просто спортивная обувь, это проявление вашего рвения к победе, сниженное к сущности силы и скорости. Откройте для себя синергию технологии и таланта, когда одеваете эти кроссовки, и пусть каждый ваш шаг отдает энергией заряда, который протянет вас мимо финишной линии.</t>
  </si>
  <si>
    <t>3026727-025</t>
  </si>
  <si>
    <t>3026727-100</t>
  </si>
  <si>
    <t>3026727-401</t>
  </si>
  <si>
    <t>верх: 41% кожа, 39% текстиль, 20% синт.материалы, подкладка: текстиль, подошва: 100% резина</t>
  </si>
  <si>
    <t>3026727-403</t>
  </si>
  <si>
    <t>3026727-408</t>
  </si>
  <si>
    <t>верх: кожа, текстиль, иск. кожа; подкладка: текстиль; подошва: резина</t>
  </si>
  <si>
    <t>UA HOVR Machina 3 Clone-BLK</t>
  </si>
  <si>
    <t>3026729-001</t>
  </si>
  <si>
    <t>верх: 92% текстиль, 8% синтетика, подкладка: текстиль, подошва: 70% Резина, 30% этиленвинилацетат (ЭВА)</t>
  </si>
  <si>
    <t>UA HOVR Machina 3 Clone-RED</t>
  </si>
  <si>
    <t>3026729-601</t>
  </si>
  <si>
    <t>92% текстиль, 8% синтетика, подошва 70% резина, 30% этиленвинилацетат (эва)</t>
  </si>
  <si>
    <t>3026998-002</t>
  </si>
  <si>
    <t>3026999-105</t>
  </si>
  <si>
    <t>3027000-035</t>
  </si>
  <si>
    <t>3027000-100</t>
  </si>
  <si>
    <t>белый/серый</t>
  </si>
  <si>
    <t>3027000-106</t>
  </si>
  <si>
    <t>темно-серый</t>
  </si>
  <si>
    <t>3027006-673</t>
  </si>
  <si>
    <t>верх: текстиль, иск.кожа; подкладка: текстиль; подошва: резина, пластик</t>
  </si>
  <si>
    <t>3027007-001</t>
  </si>
  <si>
    <t>Беговые кроссовки Under Armour Charged Surge 4​ выполнены из воздухопроницаемого текстиля. Данная обувь отлично подойдет бегунам, которым нужна гибкость, амортизация и универсальность.
Сетчатый верх для более лучшего облегания и увеличения вентиляции
Стелька Comfort Deluxe System для максимального комфорта
Промежуточная подошва Charged Cushioning двойной плотности для сочетания комфорта и взрывной отдачи энергии
Подошва из твердой резины для надежного сцепления с поверхностью</t>
  </si>
  <si>
    <t>3027007-002</t>
  </si>
  <si>
    <t>3027007-100</t>
  </si>
  <si>
    <t>3027007-403</t>
  </si>
  <si>
    <t>3027007-520</t>
  </si>
  <si>
    <t>Беговые кроссовки Under Armour Charged Surge 4 выполнены из воздухопроницаемого текстиля. Данная обувь отлично подойдет бегунам, которым нужна гибкость, амортизация и универсальность.
Сетчатый верх для более лучшего облегания и увеличения вентиляции
Стелька Comfort Deluxe System для максимального комфорта
Промежуточная подошва Charged Cushioning двойной плотности для сочетания комфорта и взрывной отдачи энергии
Подошва из твердой резины для надежного сцепления с поверхностью</t>
  </si>
  <si>
    <t>3027007-592</t>
  </si>
  <si>
    <t>зеленый/синий</t>
  </si>
  <si>
    <t>UA HOVR Phantom 3 SE RFLCT-BLK</t>
  </si>
  <si>
    <t>3027154-001</t>
  </si>
  <si>
    <t>Кроссовки Under Armour Hovr Phantom 3 Se Reflect - инновационная обувь, созданная для истинных спортивных энтузиастов. Бренд Under Armour известен своим качественным производством спортивной одежды и обуви, и эти кроссовки не стали исключением. Одной из наиболее важных особенностей этих кроссовок является их превосходная амортизация и поддержка стопы. Благодаря инновационной технологии Hovr, эти кроссовки обеспечивают мягкое и упругое ощущение при каждом шаге. Каждая ступень становится максимально комфортной, что позволяет спортсменам сосредоточиться на своей тренировке, а не на дискомфорте в ногах.</t>
  </si>
  <si>
    <t>73% текстиль, 27% синтетика, подошва резина</t>
  </si>
  <si>
    <t>UA HOVR Phantom 3 SE RFLCT-RED</t>
  </si>
  <si>
    <t>3027154-601</t>
  </si>
  <si>
    <t>красный/серый</t>
  </si>
  <si>
    <t>верх 73% текстиль, 27% синт.материалы, подошва резина</t>
  </si>
  <si>
    <t>3027189-003</t>
  </si>
  <si>
    <t>3027189-101</t>
  </si>
  <si>
    <t>3027189-102</t>
  </si>
  <si>
    <t>UA W TriBase Reign 6</t>
  </si>
  <si>
    <t>3027342-009</t>
  </si>
  <si>
    <t>Эта модель тренировочной обуви разработана для поддержки вашей лучшей техники во время подъема, перемещения и самых интенсивных тренировок. Обувь имеет три точки соприкосновения с землей и надежную верхнюю часть, обеспечивающую устойчивость и контроль в движениях.
Верх UA WARP обеспечивает максимальную поддержку при динамических нагрузках, а сетка из термопластичного полиуретана (TPU) гарантирует прочность и отличную воздухопроницаемость.
Внешний задний фиксирующий элемент и внутренний задник добавляют стабильности и поддерживают пятку в правильном положении.
Подошва двойной плотности более мягкая в передней части стопы и жесткая в области пятки — обеспечивает комфорт и дополнительную поддержку.
Обновленная технология UA TriBase™ увеличивает площадь соприкосновения с полом, способствует естественному движению и гибкости при подъемах.
Подошва из цельной резины , которая заходит на боковые стороны, делает обувь более износостойкой и устойчивой к истиранию; также предусмотрена текстурированная поверхность для надежного хвата при работе с канатом.
Дополнительные вставки из резины под носком усиливают сцепление с полом для более мощных отталкиваний.
Низкий профиль обуви усиливает ощущение соприкосновения с землей и улучшает передачу энергии при движениях.</t>
  </si>
  <si>
    <t>верх: 87% текстиль, 13% синт.материалы, подкладка: текстиль, подошва: 100% резина</t>
  </si>
  <si>
    <t>3027381-200</t>
  </si>
  <si>
    <t>3027382-001</t>
  </si>
  <si>
    <t>3027382-200</t>
  </si>
  <si>
    <t>UA Charged Valsetz Zip</t>
  </si>
  <si>
    <t>3027383-001</t>
  </si>
  <si>
    <t>UA Infinite</t>
  </si>
  <si>
    <t>3027523-002</t>
  </si>
  <si>
    <t>Поддержка, которая помогает тренироваться интенсивнее. Созданы с надёжной посадкой и мягкой, пружинистой амортизацией UA HOVR™, чтобы ваши ноги дольше оставались в тонусе.  
Вязаный верх обеспечивает воздухопроницаемость, долговечность и лёгкую фиксацию.  
Система комфортной стельки обеспечивает исключительный комфорт при каждом шаге.  
Реактивная амортизация UA HOVR™ снижает ударные нагрузки, возвращает энергию и помогает двигаться вперёд.  
Прочный резиновый протектор обеспечивает сцепление, износостойкость и гибкость для правильного отталкивания пальцев.</t>
  </si>
  <si>
    <t>3027523-103</t>
  </si>
  <si>
    <t>Мужские кроссовки Under Armour для активного образа жизни. Стильные и функциональные , сочетают современный дизайн с технологиями комфорта и поддержки. Верх из дышащего сетчатого материала обеспечивает отличную вентиляцию, промежуточная подошва с амортизацией EVA смягчает нагрузку на стопу, а резиновая подметка — надежное сцепление на различных поверхностях. Модель 3027523-323 подойдет как для повседневной носки, так и для легких тренировок.Прочная резиновая подметка с узором для улучшенного сцепления.Удобная посадка и поддержка стопы.
Идеальный выбор для тех, кто ценит комфорт, надежность и спортивный стиль.</t>
  </si>
  <si>
    <t>3027523-323</t>
  </si>
  <si>
    <t>3027523-713</t>
  </si>
  <si>
    <t>3027524-600</t>
  </si>
  <si>
    <t>Кроссовки Under Armour UA W Infinite  - это женская модель, разработанная для бегунов, которым необходим баланс между амортизацией и гибкостью. Эти кроссовки обеспечивают комфорт и поддержку на протяжении всей тренировки. 
Основные характеристики:
Верхняя часть: вязаный материал обеспечивает воздухопроницаемость, прочность и лёгкую фиксацию стопы.
Стелька: система Deluxe Comfort System обеспечивает максимальный комфорт при каждом шаге.
Промежуточная подошва: технология UA HOVR™ снижает ударные нагрузки, возвращает энергию и способствует эффективному движению вперёд.
Подошва: прочная резиновая подошва обеспечивает отличное сцепление, долговечность и гибкость для правильного отталкивания носком.
Перепад подошвы (offset): 8 мм.
Пронация: нейтральная - для бегунов, которым необходим баланс между гибкостью и амортизацией. 
Идеальны для ежедневных пробежек и тренировок благодаря сочетанию комфорта и поддержки.</t>
  </si>
  <si>
    <t>UA BCL 4 SE</t>
  </si>
  <si>
    <t>3027585-001</t>
  </si>
  <si>
    <t>3027586-494</t>
  </si>
  <si>
    <t>UA Project Rock 7</t>
  </si>
  <si>
    <t>3027600-004</t>
  </si>
  <si>
    <t>3027600-101</t>
  </si>
  <si>
    <t>3027600-310</t>
  </si>
  <si>
    <t>UA HOVR Machina 3 Clone RLA-BLK</t>
  </si>
  <si>
    <t>3027729-001</t>
  </si>
  <si>
    <t>Мужские кроссовки с верхом UA Clone, который адаптируется к форме стопы и шагу, обеспечивая плотную посадку и плавность движений. Технология UA HOVR смягчает ваши шаги, возвращает энергию и помогает двигаться вперед.
Верх кроссовок растягивается и адаптируется к форме вашей стопы и шагу, поэтому он сидит как перчатка и обеспечивает более плавное движение.
Аэродинамическая форма пятки и внешняя пластина из ТПУ для дополнительной поддержки и плотной посадки.
Формованная стелька из ЭВА адаптируется к форме стопы, предотвращает скольжение и обеспечивает идеальный комфорт в обуви.
Чувствительная амортизация HOVR UA уменьшает удары, возвращает энергию и помогает двигаться вперед.
Комбинация углеродистой и выдувной резины на подошве обеспечивает стратегическую долговечность и легкий отскок.</t>
  </si>
  <si>
    <t>UA U Sonic TR</t>
  </si>
  <si>
    <t>3027764-500</t>
  </si>
  <si>
    <t>UA U Sonic TR представляют собой вершину инженерной мысли и дизайнерской концепции Under Armour, созданные для спортсменов, предъявляющих высокие требования к тренировочной обуви. Эти кроссовки выдержат интенсивные занятия спортом, идеально сконструированные для всех, кто стремится к высшим результатам и постоянному превосходству. Отличительной чертой UA U Sonic TR является их безупречная адаптивность. Верх из сетчатого материала со специальной технологией обеспечивает превосходную вентиляцию, поддержку и гибкость, необходимые для широкого спектра тренировочных упражнений. Интеллектуальное распределение нитей в ткани верха позволяет обуви динамически сжиматься и растягиваться вместе с движениями стопы, обеспечивая естественное ощущение и комфорт. Благодаря внедренным ультрасовременным амортизирующим подошвам, UA U Sonic TR гарантируют исключительную отзывчивость и возвращение энергии при каждом шаге, минимизируя усталость мышц и повышая эффективность тренировки. Стабилизирующие элементы в области среднего и переднего стопы добавляют контроль над движениями и укрепляют основание при выполнении атлетических заданий.</t>
  </si>
  <si>
    <t>верх: 78% текстиль, 22% синт.материалы, подкладка: текстиль, подошва: 87% резина, 13% ЭВА</t>
  </si>
  <si>
    <t>4/5,5</t>
  </si>
  <si>
    <t>5/6,5</t>
  </si>
  <si>
    <t>6,5/8</t>
  </si>
  <si>
    <t>UA Shift</t>
  </si>
  <si>
    <t>3027776-003</t>
  </si>
  <si>
    <t>Окунитесь в мир современных технологий и выдержанного стиля с Under Armour Shift — кроссовками для тех, кто всегда в движении. Эта модель предназначена для активных любителей комфорта, которые ценят качество и инновационный подход в каждой детали. Динамичный и эластичный верх Shift обеспечивает непревзойденную вентиляцию и поддержку, окутывая вашу стопу точно и мягко, словно вторая кожа. Сочетание ткани и сетки в верхней части кроссовка гарантирует долговечность и гибкость, позволяя ноге дышать и перемещаться естественно. Инженерная средняя подошва, обогащенная технологией UA Charged Cushioning, предлагает уникальное сочетание поддержки и адаптивного амортизирующего комфорта, возвращая энергию и уменьшая ударную нагрузку при каждом шаге. Эти кроссовки позволяют вам двигаться с легкостью и уверенностью, будь то долгие пробежки или активные тренировки. Разработанная для оптимального сцепления подошва с рельефным рисунком добавляет уверенности в захвате поверхности, позволяя Shift мгновенно реагировать на изменения ваших движений. Плавные линии и стильный дизайн с логотипом UA, красующимся на боковой стороне, делает Shift не просто кроссовками, но и выразительным акцентом в вашем образе. В Under Armour Shift вы найдете идеальный баланс между высокой производительностью и современным стилем. Подходящие для повседневной носки и интенсивных тренировок, они станут незаменимым элементом вашего активного образа жизни.</t>
  </si>
  <si>
    <t>верх: 93% текстиль, 7% синт.материалы, подошва: 100% резина</t>
  </si>
  <si>
    <t>3027776-103</t>
  </si>
  <si>
    <t>Кроссовки Under Armour Shift для мужчин сочетают инновации и стиль для тех, кто всегда в движении. Легкий и дышащий верх обеспечивает отличную вентиляцию и поддержку, делая каждое движение естественным и комфортным. Они идеальны для активного образа жизни, обеспечивая баланс между производительностью и современным стилем. Эластичный верх из текстиля и полиэстера гарантирует долговечность и свободу движений, улучшая вентиляцию и комфорт.
- Средняя подошва с технологией UA Charged Cushioning обеспечивает амортизацию, возвращая энергию и снижая нагрузку на стопу.
- Инженерная конструкция способствует легкости движений и поддержке, сохраняя естественную гибкость во время пробежек.
- Подошва с рельефным рисунком обеспечивает надежное сцепление, позволяя уверенно двигаться по разным поверхностям.
- Стильный дизайн и логотип UA на боковой стороне добавляют выразительности и стильности, идеально подходя для повседневного ношения.
- Эти кроссовки – незаменимый элемент для любых тренировок, дарящий уверенность и комфорт при каждом шаге.</t>
  </si>
  <si>
    <t>3027776-401</t>
  </si>
  <si>
    <t>UA Infinite Elite We Run</t>
  </si>
  <si>
    <t>3027971-100</t>
  </si>
  <si>
    <t>Беговые кроссовки Under Armour Infinite Elite будут идеальным вариантом для бегунов, которым нужна максимальная универсальность как для быстрых, так и для медленных длительных тренировок
Верх из сетки UA Intelliknit, прочной и дышащей, с текстурой, которая адаптируется к форме стопы во время бега, обеспечит точную и комфортную посадку.
Подошва из смеси HOVR+, на 20% легче, мягче и реактивнее традиционной смеси HOVR, которая смягчает каждый удар, экономя вашу драгоценную энергию, гарантирует прекрасную амортизацию.
Прочная резиновая подошва обеспечивает максимальное сцепление и захват, а скошенная геометрия подошвы под пяткой - мягкое приземление и более плавный переход с пятки на носок.
Верхняя трикотажная часть UA IntelliKnit с микродеталями и текстурами создает анатомически точную посадку для максимального комфорта
Упругая амортизация UA HOVR™+ снижает ударную нагрузку, возвращает энергию и способствует движению вперед
Плоские шнурки с люверсами, интегрированные непосредственно в верхнюю часть, позволяют конструкции обхватывать стопу, не создавая давления на верхнюю часть свода стопы
Язычок с легкой подкладкой частично интегрирован в конструкцию
Воротник с мягкой подкладкой и расширенной задней частью, что обеспечивает больший комфорт для ахиллова сухожилия
Пяточная стойка из TPU для дополнительной поддержки и фиксации с асимметричной петелькой для облегчения надевания/снимания
скошенная геометрия подошвы под пяткой помогает плавно приземляться, уменьшает удар и повышает общую устойчивость
3D-формованная стелька облегает стопу, обеспечивая дополнительный комфорт
Легкая подметка из тонкой резины обеспечивает долговечность и сцепление в нужных местах
Вес - 319 г (Размер 9,0 US)
Перепад пятка/носок - 8 мм</t>
  </si>
  <si>
    <t>UA Intelliknit. Технологичный трикотаж согреет, когда еще холодно для футболки, но уже жарко для лонгслива. Мягкая, эластичная, дышащая ткань, теплая и при этом легкая, не сковывающая движений.  Во время пробежки поддерживает ощущение сухости и комфорта.; 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t>
  </si>
  <si>
    <t>3028002-044</t>
  </si>
  <si>
    <t>UA HOVR Sonic всегда был отичным выбором для бегунов, которые любят дистанции, но хотят большей гибкости. И теперь, благодаря коучингу форм в реальном времени от UA MapMyRun, UA HOVR Sonic 4 также поможет вам стать лучше бегуном.  Технология UA HOVR обеспечивает «ощущение невесомости» для поддержания возврата энергии, что помогает устранить удары. Сжатая сетка Energy Web содержит и формирует пену UA HOVR для возврата энергии. Легкий верх из искусственной сетки для максимальной воздухопроницаемости. Язык прикреплен к стельке с помощью эластичных опорных крыльев для плотного прилегания по всей стопе. Цельная конструкция пятки с наружным задником из ТПУ для дополнительной поддержки и структуры. Особая износостойкая резина под пяткой для поглощения контакта с землей и большей долговечности. Перепад: 8 мм Вес: 281 грамм.</t>
  </si>
  <si>
    <t>верх: 81% текстиль, 19% синт.материалы, подкладка: текстиль, подошва: 100% резина</t>
  </si>
  <si>
    <t>3028002-103</t>
  </si>
  <si>
    <t>3028002-452</t>
  </si>
  <si>
    <t>UA W Sonic 7</t>
  </si>
  <si>
    <t>3028003-001</t>
  </si>
  <si>
    <t>Превзойдите границы своих возможностей с женскими беговыми кроссовками Under Armour Ladies Sonic 7 Trail. Созданные для скорости и невероятно лёгкие, эти кроссовки готовы поддерживать вас с первых шагов. Независимо от того, преодолеваете ли вы сложные трассы или выполняете интенсивные упражнения, лёгкая конструкция и упругая амортизация Sonic 7 обеспечат необходимую поддержку, чтобы вы могли продолжать движение вперёд.</t>
  </si>
  <si>
    <t>3028003-014</t>
  </si>
  <si>
    <t>3028003-100</t>
  </si>
  <si>
    <t>Это женские беговые кроссовки Under Armour UA Sonic 7 в расцветке "Triple White" (полностью белые). Они разработаны для бегунов с нейтральной пронацией и отличаются легкой конструкцией и амортизацией UA HOVR™. 
Подходят для тренировок на асфальте и повседневной носки.
 Используется технология UA HOVR™, которая обеспечивает ощущение "нулевой гравитации", снижает ударную нагрузку и возвращает энергию при каждом шаге. Выполнен из тройной жаккардовой сетки, которая обеспечивает легкость, воздухопроницаемость и точную посадку по ноге.
 Резиновая подошва из цельного куска с стратегическими канавками обеспечивает долговечность и хорошее сцепление с поверхностью.
 Формованная стелька из EVA для дополнительного комфорта при надевании.Перепад (дроп): 8 мм. Нейтральный (подходят для бегунов, которым нужен баланс гибкости и амортизации).</t>
  </si>
  <si>
    <t>3028003-494</t>
  </si>
  <si>
    <t>3028076-002</t>
  </si>
  <si>
    <t>Кроссовки Under Armour Dynamic 2 — идеальный выбор для мужчин, предпочитающих активный образ жизни и занятия фитнесом. Верхняя часть выполнена из комбинации 70% текстиля и 30% синтетических материалов, что обеспечивает отличную вентиляцию и износостойкость. Подкладка из текстиля гарантирует комфорт и предотвращает натирание во время длительных тренировок. Подошва из 100% этилвинилацетата (ЭВА) обеспечивает амортизацию и легкость, снижая нагрузку на суставы. Кроссовки оснащены классической шнуровкой, позволяющей легко регулировать посадку для идеального прилегания. Эти кроссовки — сочетание стиля, функциональности и инновационных технологий.</t>
  </si>
  <si>
    <t>верх: текстиль, иск.кожа; подкладка: текстиль; подошва: ЭВА</t>
  </si>
  <si>
    <t>3028076-014</t>
  </si>
  <si>
    <t>3028076-403</t>
  </si>
  <si>
    <t>3028076-466</t>
  </si>
  <si>
    <t>верх: текстиль, иск. кожа, подкладка: текстиль, подошва: этилвинилацетат (ЭВА)</t>
  </si>
  <si>
    <t>UA W Dynamic 2</t>
  </si>
  <si>
    <t>3028077-003</t>
  </si>
  <si>
    <t>Кроссовки Under Armour W Dynamic 2 созданы для женщин, стремящихся к комфорту и поддержке во время фитнес-тренировок. Верхняя часть выполнена из 79% текстиля и 21% синтетических материалов, что обеспечивает отличную воздухопроницаемость и устойчивость к износу. Текстильная подкладка обеспечивает мягкость и комфорт, предотвращая натирание даже при интенсивных занятиях. Подошва из 100% резины гарантирует отличное сцепление с поверхностью, повышая устойчивость и безопасность. Классическая шнуровка позволяет легко отрегулировать посадку кроссовок, обеспечивая надежную фиксацию. Эти кроссовки сочетают стильный дизайн и инновационные технологии, делая каждую тренировку более эффективной.</t>
  </si>
  <si>
    <t>3028168-100</t>
  </si>
  <si>
    <t>UA Phade RN 3</t>
  </si>
  <si>
    <t>3028252-001</t>
  </si>
  <si>
    <t>Мы создали их легкими, быстрыми и очень удобными. Дышащий сетчатый верх со стратегической поддержкой. Съемный комфортный носок для удобства в ногах. Подошва с амортизацией EVA для комфорта при ходьбе и легкого, отзывчивого хода. Прочная резиновая подошва с гибкими канавками для дополнительной гибкости там, где она вам больше всего нужна.</t>
  </si>
  <si>
    <t>3028252-410</t>
  </si>
  <si>
    <t>3028254-001</t>
  </si>
  <si>
    <t>3028254-391</t>
  </si>
  <si>
    <t>3028256-001</t>
  </si>
  <si>
    <t>Представьте себе обувь, которая становится продолжением вашего тела — легкая, как дыхание, и прочная, как ваш дух. Under Armour Charged Rogue 5 — это не просто кроссовки, это инновационный шедевр, созданный для тех, кто ценит каждое движение на корте.
Верх кроссовок выполнен из цельной инженерной сетки, словно вторая кожа, которая обнимает вашу стопу. Она обеспечивает невероятную воздухопроницаемость, позволяя вашим ногам оставаться свежими даже в самые напряженные моменты матча. При этом минималистичный дизайн остается стильным и современным, а использование переработанных материалов (не менее 20%) подчеркивает заботу бренда об окружающей среде.
Каждый шаг становится удовольствием благодаря роскошной системе Deluxe Comfort System. Съемная стелька адаптируется к форме вашей стопы, создавая непревзойденный комфорт и поддержку. Вы почувствуете, как каждое прикосновение к земле становится мягким, но в то же время уверенным, словно вы парите над кортом.
Сердце этих кроссовок — технология Charged Cushioning®. Эта уникальная подошва сочетает в себе амортизацию, отзывчивость и долговечность. Она поглощает удары, превращая их в энергию для следующего рывка. Поддержка идеально сбалансирована: достаточно мягкая, чтобы чувствовать себя комфортно, и достаточно жесткая, чтобы оставаться уверенным в каждом движении.
Подошва из высококачественной резины гарантирует исключительное сцепление с любым покрытием. Она гибкая там, где это необходимо, позволяя вашей стопе естественно двигаться, и в то же время прочная, чтобы выдерживать интенсивные нагрузки. Каждый шаг, каждый рывок и каждое изменение направления становятся точными и уверенными, словно сам корт работает на вас.
Under Armour Charged Rogue 5 — это больше, чем просто спортивная обувь. Это партнер, который поддерживает вас в каждом матче, помогая раскрыть весь ваш потенциал. Наденьте их, и позвольте своей игре говорить за вас.</t>
  </si>
  <si>
    <t>3028256-428</t>
  </si>
  <si>
    <t>3028259-001</t>
  </si>
  <si>
    <t>3028262-001</t>
  </si>
  <si>
    <t>Мы совместили легкую, дышащую сетку с нашим фирменным промежуточным слоем Charged Cushioning® для невероятной отзывчивости, максимального поглощения ударов и энергичного ощущения, которое заставляет вас бежать снова и снова.
Полноценный верх из технологичной сетки обеспечивает легкость, воздухопроницаемость и плотную посадку, как вторая кожа.
Стелька Deluxe Comfort System принимает форму вашей стопы, обеспечивая исключительный комфорт при каждом шаге.
Промежуточная подошва Charged Cushioning® гарантирует комфорт в течение всего дня, сочетая отзывчивость и долговечность.
Прочный резиновый протектор обеспечивает сцепление и износостойкость, а также гибкость в нужных местах для правильного отталкивания пальцев.</t>
  </si>
  <si>
    <t>3028262-002</t>
  </si>
  <si>
    <t>3028262-016</t>
  </si>
  <si>
    <t>3028262-377</t>
  </si>
  <si>
    <t>3028371-101</t>
  </si>
  <si>
    <t>верх: текстиль, синт.материалы, подкладка: текстиль, подошва: резина</t>
  </si>
  <si>
    <t>3028371-289</t>
  </si>
  <si>
    <t>3028375-001</t>
  </si>
  <si>
    <t>Under Armour UA Edge LTHR — это кроссовки, сочетающие стильный дизайн с высокими технологическими характеристиками. Верх из натуральной кожи и синтетических материалов обеспечивает прочность и долговечность, а также придаёт модели элегантный внешний вид. Текстильная подкладка гарантирует комфорт и мягкость, предотвращая натирание при длительной носке. Резиновая подошва обеспечивает превосходное сцепление и устойчивость на различных поверхностях, что делает эти кроссовки идеальными для городских условий. Застежка на шнуровке позволяет индивидуально регулировать посадку, обеспечивая надежную фиксацию стопы. Under Armour UA Edge LTHR — это выбор для тех, кто ценит качество и стиль в каждой детали.</t>
  </si>
  <si>
    <t>верх: нат.кожа, иск.кожа; подкладка: текстиль; подошва: резина</t>
  </si>
  <si>
    <t>3028375-100</t>
  </si>
  <si>
    <t>UA W Charged Bandit TR 3</t>
  </si>
  <si>
    <t>3028405-014</t>
  </si>
  <si>
    <t>Under Armour UA W Charged Bandit TR 3 — идеальный выбор для бегунов, предпочитающих активный отдых на природе. Износостойкий верх из синтетических материалов и текстиля предлагает превосходную воздухопроницаемость и долговечность. Эти кроссовки гарантируют комфорт и надежность на любых типах поверхностей благодаря агрессивной резиновой подошве. Прочный верх из синтетических материалов и текстиля обеспечивает долговечность и отличную вентиляцию, поддерживая комфорт в течение длительных пробежек.
- Текстильная подкладка мягко поддерживает стопу, предотвращая натирание и обеспечивая комфортное прилегание.
- Агрессивный протектор резиновой подошвы гарантирует надежное сцепление на сложных поверхностях, будь то город или природа.
- Шнуровка позволяет легко адаптировать посадку к индивидуальным предпочтениям, предоставляя надежную фиксацию.
- Легкая конструкция кроссовок способствует естественным движениям, обеспечивая устойчивость и защиту в любых условиях.
- Эти кроссовки идеально подходят для тех, кто ценит сочетание надежности и комфорта в активном образе жизни.</t>
  </si>
  <si>
    <t>верх: иск.кожа, текстиль; подкладка: текстиль; подошва: резина</t>
  </si>
  <si>
    <t>3028405-104</t>
  </si>
  <si>
    <t>верх: 68% синт.материалы, 32% текстиль, подкладка: текстиль, подошва: 100% резина</t>
  </si>
  <si>
    <t>UA Spawn 7</t>
  </si>
  <si>
    <t>3028461-002</t>
  </si>
  <si>
    <t>Баскетбольные кроссовки Under Armour Spawn 7 предлагают исключительную поддержку и комфорт как на асфальте, так и на паркете. Легкий и дышащий сетчатый верх с прочными накладками из ТПУ обеспечивает долговечность и эффективное рассеивание тепла. Амортизация UA HOVR+ в сочетании с технологией Micro G® отлично поглощает удары, снижая их воздействие и обеспечивая комфорт и отзывчивость. Формованный воротник и переработанная пяточная чашка гарантируют надежную поддержку. Сетчатый язычок и шнуровка улучшают вентиляцию и посадку, а резиновая подошва с протектором Wave Bone обеспечивает отличное сцепление. Верх из переработанных материалов делает кроссовки экологически ответственным выбором.</t>
  </si>
  <si>
    <t>верх: 63% текстиль, 37% синт.материалы, подкладка: текстиль, подошва: 100% этилвинилацетат (ЭВА)</t>
  </si>
  <si>
    <t>3028461-100</t>
  </si>
  <si>
    <t>3028512-300</t>
  </si>
  <si>
    <t>верх: 41% кожа, 33% синт.материалы, 26% текстиль, подошва: 100% резина</t>
  </si>
  <si>
    <t>3028512-426</t>
  </si>
  <si>
    <t>верх: нат. кожа, иск.кожа, текстиль; подкладка: текстиль; подошва: резина</t>
  </si>
  <si>
    <t>3028512-600</t>
  </si>
  <si>
    <t>UA W Edge LTHR</t>
  </si>
  <si>
    <t>3028569-100</t>
  </si>
  <si>
    <t>Кроссовки Under Armour UA W Edge LTHR — это сочетание стильного дизайна и передовых технологий. Верх выполнен из кожи и синтетических материалов, что обеспечивает долговечность и элегантный внешний вид. Подкладка из текстиля способствует отличной вентиляции, создавая комфортные условия для ваших ног даже в течение длительного времени. Резиновая подошва обеспечивает надежное сцепление с различными поверхностями, что делает эти кроссовки отличным выбором для активной жизни в городе. Классическая шнуровка позволяет точно подогнать обувь под вашу стопу, гарантируя удобство и поддержку. Эти кроссовки идеально подходят для повседневной носки и разнообразных активностей.</t>
  </si>
  <si>
    <t>3028657-001</t>
  </si>
  <si>
    <t>Кроссовки Under Armour UA Charged Bandit TR 3 SP созданы для тех, кто стремится покорять новые вершины. Верх из синтетических материалов и текстиля обеспечивает отличную вентиляцию и легкость, позволяя чувствовать комфорт даже при интенсивных нагрузках. Текстильная подкладка мягко обхватывает стопу, уменьшая риск натирания и обеспечивая дополнительный комфорт. Надежная резиновая подошва гарантирует превосходное сцепление с различными поверхностями, что делает эти кроссовки идеальными для активного отдыха и спорта на открытом воздухе. Классическая шнуровка обеспечивает надежную фиксацию, позволяя вам уверенно двигаться вперед. Эти кроссовки станут незаменимым спутником на любых тропах и тренировках.</t>
  </si>
  <si>
    <t>верх: иск.кожа, текстиль; подкладка: текстиль; подошва: резина</t>
  </si>
  <si>
    <t>3028657-002</t>
  </si>
  <si>
    <t>3028657-003</t>
  </si>
  <si>
    <t>Under Armour UA Charged Bandit TR 3 SP прочные мужские кроссовки для бега по пересеченной местности.
Кроссовки Under Armour Charged Bandit TR 3 SP разработаны для тех, кто не боится исследовать новые горизонты и бегать по бездорожью. Эта модель сочетает в себе легкость, амортизацию и надежное сцепление на различных поверхностях, включая грязную и рыхлую местность.
 Идеально подходят для бега по пересеченной местности (трейлраннинг), хайкинга, а также для тренировок и активного отдыха на открытом воздухе.
Технология Charged Cushioning®: Промежуточная подошва из компрессионной формованной пены обеспечивает отзывчивую амортизацию, снижает ударное воздействие и гарантирует долговечность.
Водоотталкивающая мембрана UA Storm1 защищает от легкого дождя, сохраняя при этом воздухопроницаемость.
Легкий двухцветный сетчатый верх обеспечивает вентиляцию, а стратегические накладки добавляют прочности и защиты в зонах повышенного износа.
Формованная стелька предотвращает скольжение и обеспечивает комфорт.
 Прочная резиновая подошва с техническими грунтозацепами обеспечивает отличное сцепление при движении вверх и вниз по тропам.
Перепад (Offset): 8 мм.           Материал: Верх — синтетические материалы и текстиль; подошва — резина.
На кроссовках присутствует печатный логотип Under Armour.</t>
  </si>
  <si>
    <t>верх: иск.кожа, текстиль; подкладка: текстиль; подошва: резина</t>
  </si>
  <si>
    <t>3028657-709</t>
  </si>
  <si>
    <t>UA HOVR TURBULENCE 2 RS</t>
  </si>
  <si>
    <t>3028751-002</t>
  </si>
  <si>
    <t>3028751-026</t>
  </si>
  <si>
    <t>Бегунам на длинные дистанции нужно идеальное сочетание амортизации, упругости, долговечности и эффективности. И это именно то, что вы получаете с UA Turbulence — отзывчивая амортизация, плавный ход и мили комфорта.
Дышащий трикотажный верх обеспечивает прочность и легкость фиксации.
Стелька Deluxe Comfort System обеспечивает максимальный комфорт при
надевании. Отзывчивая амортизация UA HOVR™ смягчает удары, возвращает энергию, помогая вам двигаться вперед.
Прочная резиновая подошва обеспечивает прочность сцепления и гибкость при отталкивании.</t>
  </si>
  <si>
    <t>3028751-100</t>
  </si>
  <si>
    <t>UA BCL SPD</t>
  </si>
  <si>
    <t>6000007-003</t>
  </si>
  <si>
    <t>Эти беговые кроссовки — лёгкие повседневные тренировочные модели, способные поддержать ускорение при необходимости во время темповых отрезков.
• Идеальны для: ежедневных пробежек, темповых тренировок и занятий на треке — обеспечивают лёгкость и скорость
• Погодные условия: любой климат, сухая погода
• Минималистичная конструкция верха с эластичной тканью динамического плетения Leno обеспечивает идеальную посадку и комфорт даже на длинных дистанциях
• Лёгкая и отзывчивая пена средней подошвы с высоким энерговозвратом именно тогда, когда это наиболее важно
• Лёгкая и износостойкая резиновая подошва</t>
  </si>
  <si>
    <t>UA Charged Pursuit 4 BL</t>
  </si>
  <si>
    <t>6000597-016</t>
  </si>
  <si>
    <t>Здесь главное — лёгкость и гибкость. Много сетчатых вставок для отличной воздухопроницаемости и амортизирующая технология Charged Cushioning®, защищающая от ударных нагрузок. Просто наденьте их — и бегите на многие километры.
Двухцветный верх из дышащей сетки обеспечивает лёгкую фиксацию и комфорт при каждом шаге.
Мягкая стелька из вспененного материала идеально принимает форму стопы, обеспечивая мгновенный комфорт при первом же шаге.
Промежуточная подошва с амортизацией Charged+ дарит непревзойдённую мягкость и комфорт, возвращая энергию и поддерживая вас на протяжении многих километров.
Резиновая подошва гарантирует надёжное сцепление и износостойкость, а strategically placed flex grooves (специально расположенные гибкие канавки) обеспечивают естественный отталкивание носком при беге.</t>
  </si>
  <si>
    <t>6000597-103</t>
  </si>
  <si>
    <t>UA W Aurora 3</t>
  </si>
  <si>
    <t>6000760-001</t>
  </si>
  <si>
    <t>Созданы для того, чтобы выдерживать максимальное количество повторений: с конструкцией, специально разработанной для женской стопы, обеспечивающей лучшую поддержку во всех направлениях, дышащими материалами и амортизацией для эффективного поглощения ударных нагрузок.
Специальная, утончённая колодка, идеально адаптированная под анатомические особенности женской стопы.
Мягкий дышащий сетчатый верх с элементами из замши.
Обновлённая амортизирующая промежуточная подошва Charged+ обеспечивает повышенный комфорт и улучшенные спортивные характеристики.
Цельная резиновая подошва гарантирует максимальную износостойкость, а многонаправленный рисунок протектора — надёжное сцепление в любых движениях.</t>
  </si>
  <si>
    <t>6000760-014</t>
  </si>
  <si>
    <t>Женские тренировочные кроссовки Under Armour Aurora 3 разработаны специально для женской стопы, обеспечивая обтекаемую посадку и поддержку во всех направлениях. Эта модель создана для интенсивных занятий фитнесом, объединяя современные технологии с комфортом использования даже во время самых требовательных тренировок.  Идеально подходят для широкого спектра тренировок в зале, включая силовые упражнения, кардио, бег и длительную ходьбу. Они также отлично подходят для повседневного использования.
 Обновленная промежуточная подошва Charged+ обеспечивает динамическую амортизацию, снижает ударную нагрузку и возвращает энергию, способствуя плавным и быстрым движениям.Верх выполнен из мягкой, дышащей сетки с замшевыми вставками, что гарантирует эффективную вентиляцию и поддержание комфортной температуры стопы.Полноразмерная резиновая подошва с разнонаправленным рисунком протектора обеспечивает максимальную долговечность и отличное сцепление на различных поверхностях.Перепад (Offset): 7 мм.Вес: Примерно 255 грамм (9 унций).
Материал верха: 84% текстиль, 16% синтетика. Эти кроссовки обладают высоким уровнем комфорта, легким весом, отличной амортизацией и поддержкой, что делает их надежным выбором для регулярных тренировок.</t>
  </si>
  <si>
    <t>6000760-100</t>
  </si>
  <si>
    <t>6001585-100</t>
  </si>
  <si>
    <t>6001585-600</t>
  </si>
  <si>
    <t>UA BCL Distance</t>
  </si>
  <si>
    <t>6006030-001</t>
  </si>
  <si>
    <t>Under Armour VLCT Distance — ваша новая универсальная пара для динамичных пробежек и стильного повседневного образа. Благодаря элегантному дизайну и фирменной спортивной ДНК Under Armour вы готовы покорять городские улицы, оставаясь при этом в тренде.
Лёгкая конструкция и отзывчивая амортизация создают ощущение невесомости при каждом шаге. Дышащий сетчатый верх обеспечивает оптимальную вентиляцию, чтобы ноги оставались прохладными даже во время интенсивных тренировок. А прочная внешняя подошва гарантирует надёжное сцепление, необходимое для уверенных шагов в течение всего дня. Неудивительно, что бегуны по всему миру доверяют Under Armour.
Поэтому выбирайте VLCT Distance и выведите свой беговой стиль на новый уровень. В KICKZ вы найдёте именно то, что нужно для улучшения ваших результатов и безупречного образа.</t>
  </si>
  <si>
    <t>6006030-002</t>
  </si>
  <si>
    <t>6006030-102</t>
  </si>
  <si>
    <t>6006717-001</t>
  </si>
  <si>
    <t>6006717-003</t>
  </si>
  <si>
    <t>6006717-100</t>
  </si>
  <si>
    <t>верх: текстиль, иск. кожа; подкладка: текстиль; подошва: резина</t>
  </si>
  <si>
    <t>6006717-712</t>
  </si>
  <si>
    <t>6006717-835</t>
  </si>
  <si>
    <t>UA W Turbulence 3</t>
  </si>
  <si>
    <t>6006718-002</t>
  </si>
  <si>
    <t>6006718-101</t>
  </si>
  <si>
    <t>Бегунам на длинные дистанции необходима обувь с идеальным сочетанием амортизации, упругости, износостойкости и эффективности. Именно это и предлагает UA Turbulence: отзывчивая амортизация, мягкое приземление и стабильный комфорт — километр за километром.
Двухслойный инновационный сетчатый верх обеспечивает прочность конструкции и отличную воздухопроницаемость.
Мягкая антимикробная стелька создаёт особенно приятные ощущения при носке.
Технология Charged Cushioning и амортизирующая промежуточная подошва обеспечивают уникальную мягкость и комфорт.
Резиновая внешняя подошва гарантирует надёжное сцепление с поверхностью и долговечность.</t>
  </si>
  <si>
    <t>UA Rogue 6</t>
  </si>
  <si>
    <t>6006719-002</t>
  </si>
  <si>
    <t>Мы объединили лёгкую дышащую сетку с нашей амортизирующей подошвой Charged+, чтобы добиться потрясающей отзывчивости, максимальной амортизации ударов и энергичного ощущения, которое помогает бежать снова и снова.
• Верх из специально разработанной инженерной сетки премиального вида и тактильных ощущений с накладками из ТПУ для поддержки средней части стопы
• Мягкий стелёчный слой с антимикробной обработкой обеспечивает мгновенный комфорт при надевании
• Амортизация средней подошвы Charged+ обеспечивает непревзойдённую мягкость и комфорт в течение всего дня
• Резиновая подошва обеспечивает сцепление по всей стопе и повышенную износостойкость
• Сдержанный текстовый логотип для более универсального стиля</t>
  </si>
  <si>
    <t>6006719-025</t>
  </si>
  <si>
    <t>верх: текстиль; стелька: текстиль; подошва: резина</t>
  </si>
  <si>
    <t>6006719-100</t>
  </si>
  <si>
    <t>UA Charged Commit TR 5</t>
  </si>
  <si>
    <t>6007140-016</t>
  </si>
  <si>
    <t>Это серьезные тренировочные кроссовки, созданные для стабильности, свободы движений и максимальной защиты от нагрузок. Верх из дышащей сетки дополнен кожаными вставками, которые обеспечивают прочность и надежную фиксацию стопы, а продуманные гибкие зоны на подошве позволяют двигаться естественно и уверенно. Амортизация Charged Cushioning® эффективно поглощает ударную нагрузку, сохраняя баланс между комфортом и чувствительностью на протяжении всей тренировки. Полноразмерная резиновая подошва с заходом на боковые части повышает износостойкость и обеспечивает дополнительную поддержку там, где это действительно необходимо. Всё остальное — уже зависит от тебя.</t>
  </si>
  <si>
    <t>UA BCL Pace</t>
  </si>
  <si>
    <t>6009107-002</t>
  </si>
  <si>
    <t>Обувь, созданная для ускорения ваших ежедневных пробежек: упругая пена HOVR™ обеспечивает возврат энергии, а лёгкая и стабильная посадка гарантирует постоянную скорость и комфорт.
Идеально подходит для: ежедневных дистанций с ощущением лёгкости и скорости
Погодные условия: любой климат, сухая погода
Верх из полупрозрачной моно-сетки: лёгкий и дышащий, с видимой внутренней каркасной конструкцией в средней части и носке
Классическая конструкция воротника и язычка для оптимальной посадки
Амортизация UA HOVR™: отзывчивая, снижает ударную нагрузку, возвращает энергию и помогает двигаться вперёд
Полноразмерная резиновая подошва для надёжного сцепления и долговечности</t>
  </si>
  <si>
    <t>6009107-100</t>
  </si>
  <si>
    <t>верх: текстиль, иск.кожа; подкладка: текстиль; подошва: резина, пластик</t>
  </si>
  <si>
    <t>6009107-102</t>
  </si>
  <si>
    <t>6009107-703</t>
  </si>
  <si>
    <t>голубой/оранжевый</t>
  </si>
  <si>
    <t>13</t>
  </si>
  <si>
    <t>UA W BCL Pace</t>
  </si>
  <si>
    <t>6009108-100</t>
  </si>
  <si>
    <t>6009108-703</t>
  </si>
  <si>
    <t>UA Halftime Wool Glove</t>
  </si>
  <si>
    <t>1378755-001</t>
  </si>
  <si>
    <t>Перчатки</t>
  </si>
  <si>
    <t>Перчатки UA Halftime Wool Glove предлагают отличный баланс между комфортом и функциональностью в прохладное время года. Состав из 72% полиэстера и 28% шерсти обеспечивает комфорт и тепло. Эти перчатки прекрасно сохраняют форму и защитные свойства, даже при интенсивном использовании.
- Смесь полиэстера и шерсти гарантирует утепление и мягкость, сохраняя руки в тепле без перегревания.
- Вставки из нейлона и эластана в манжете добавляют эластичность и обеспечивают плотную посадку без соскальзывания.
- Подкладка, обогащенная шерстью, улучшает термоизоляцию, не добавляя лишнего объема.
- Прочный материал защищает от ветра и холодного воздуха, оставаясь мягким и комфортным.
- Идеальные для повседневного использования, они предоставляют стиль и функциональность в холодную пору.</t>
  </si>
  <si>
    <t>основной состав: 72% полиэстер, 28% шерсть, манжеты: 64% полиэстер, 25% шерсть, 10% нейлон, 1% эластан, подкладка: 73% полиэстер, 26% шерсть, 1% эластан</t>
  </si>
  <si>
    <t>18,3-20</t>
  </si>
  <si>
    <t>L/XL</t>
  </si>
  <si>
    <t>21,8-23</t>
  </si>
  <si>
    <t>UA Storm Insulated Gloves</t>
  </si>
  <si>
    <t>1373096-002</t>
  </si>
  <si>
    <t>Перчатки Under Armour  — тепло, комфорт и надёжная защита в холодное время год,созданы для тех, кто не готов жертвовать комфортом и производительностью даже в самые холодные дни. Благодаря инновационным технологиям и продуманному дизайну они обеспечивают отличную теплоизоляцию, превосходную воздухопроницаемость и надёжное сцепление — идеальный выбор для активного образа жизни в осенне-зимний сезон.
Материалы нового поколения: внешний слой из прочного полиэстера с водоотталкивающей пропиткой защищает от ветра и легкой влаги; внутренний слой — мягкий, дышащий флис для сохранения тепла.
Технология HeatGear®/ColdGear® (в зависимости от модели): регулирует микроклимат внутри перчаток — не перегревает и не даёт замёрзнуть.
Анатомический крой — повторяет естественную форму руки для максимальной свободы движений.
Усиленные ладони и пальцы — износостойкие вставки повышают долговечность и улучшают хват при работе со снаряжением, рулем велосипеда, треккинговыми палками и т.д.
Сенсорный наконечник на большом и указательном пальцах — позволяет использовать сенсорные экраны без снятия перчаток.
Эластичный манжет — плотно облегает запястье, предотвращая попадание холода и снега.
Подходят для :Зимние пробежки и тренировки на улице,Горные лыжи, сноуборд, ски-тур,Повседневная носка в городе,Походы и активный отдых на природе.</t>
  </si>
  <si>
    <t>50% иск.кожа, 45% полиэстер, 5% эластан</t>
  </si>
  <si>
    <t>17,8-19,1</t>
  </si>
  <si>
    <t>19,4-20,6</t>
  </si>
  <si>
    <t>21-22,2</t>
  </si>
  <si>
    <t>UA Halftime Gloves</t>
  </si>
  <si>
    <t>1373157-003</t>
  </si>
  <si>
    <t>Перчатки Under Armour современного кроя.</t>
  </si>
  <si>
    <t>100% акрил</t>
  </si>
  <si>
    <t>1373157-013</t>
  </si>
  <si>
    <t>UA Summit Trek Suede</t>
  </si>
  <si>
    <t>3028424-102</t>
  </si>
  <si>
    <t>Повседневная обувь</t>
  </si>
  <si>
    <t>Under Armour UA Summit Trek Suede предлагает сочетание стиля и функциональности для любителей прогулок по городским улицам и лесным тропинкам. Эти кроссовки с замшевой отделкой и уникальным дизайном вдохновлены эстетикой 90-х, обеспечивая как прочность, так и визуальную привлекательность. Легкий сетчатый верх с замшевой отделкой гарантирует долговечность и превосходную поддержку, сохраняя стильный вид.
- Дизайн в стиле 90-х с оригинальной системой шнуровки привлекает внимание и выделяет вас среди других.
- Двухслойная амортизация межподошвы обеспечивает превосходный комфорт и поддержку на протяжении всего дня.
- Протекторная резиновая подошва улучшает сцепление, позволяя уверенно чувствовать себя на различных покрытиях.
- Эти кроссовки предлагают регулярную посадку, обеспечивая естественное прилегание к стопе и комфорт.
- Идеальные для городских прогулок и активного отдыха, кроссовки UA Summit Trek Suede обеспечивают баланс производительности и ретро-стиля.</t>
  </si>
  <si>
    <t>верх: 63% кожа, 26% текстиль, 11% синт.материалы, ~подошва: 100% резина</t>
  </si>
  <si>
    <t>UA Phantom 4</t>
  </si>
  <si>
    <t>3027593-390</t>
  </si>
  <si>
    <t>Формованный, мягкий и структурированный материал для комфорта внутри и снаружи Трикотажный воротник обеспечивает посадку, напоминающую носок, и исключительный комфорт при ходьбе Гладкая накладка на пятку из ТПУ и подтяжка пятки для легкого надевания / снимания Плюшевая формованная стелька для повышенного комфорта Сверхпружинистая амортизация UA HOVR™+ уменьшает ударные нагрузки, возвращает энергию и помогает двигаться вперед Резиновая подошва обеспечивает дополнительное сцепление и долговечность</t>
  </si>
  <si>
    <t>верх: 78% текстиль, 22% синт.материалы, подкладка: текстиль, подошва: 100% резина</t>
  </si>
  <si>
    <t>UA W HOVR Rise 3 Novelty</t>
  </si>
  <si>
    <t>3024698-001</t>
  </si>
  <si>
    <t>Мы взяли нашу удивительную амортизирующую подушку UA HOVR, возвращающую энергию от бега и использовали ее в тренировочном снаряжении. Это означает, что каждая бёрпи, каждое упражнение по лестнице, каждый прыжок на ящик, каждое движение становится более взрывным. Технология UA HOVR обеспечивает« невесомость » для поддержания возврата энергии. Пена UA HOVR  содержится в более прочной межподошве из этиленвинилацетата, обеспечивая идеальное сочетание комфорта. Легкий износостойкий сетчатый верх с 3D-принтом, прочный и дышащий для любых тренировок. Эластичная конструкция ботинка для легкого надевания и снятия. Внешний ремешок помогает зафиксировать ногу на месте. UA TriBase  увеличивает контакт с землей, способствует естественному движению и обеспечивает гибкость во время подъема. Полностью резиновая подошва для улучшения сцепления во всех направлениях и долговечности.</t>
  </si>
  <si>
    <t>верх: 99% текстиль, 1% синтетический материал, подошва: 100% резина</t>
  </si>
  <si>
    <t>UA HOVR Apparition RTRFTR SD</t>
  </si>
  <si>
    <t>3027596-104</t>
  </si>
  <si>
    <t>Дышащий верх с накладками из синтетической кожи обеспечивает надежную поддержку и долговечность
Обновленная стелька обеспечивает комфорт в течение всего дня
Амортизационная система UA HOVR™ с высокой отдачей энергии уменьшает ударные нагрузки, обеспечивая мягкий ход и дополнительный импульс при движении вперед
Подошва из прочной резины по всей ступне обеспечивает отличное сцепление и длительный срок службы</t>
  </si>
  <si>
    <t>верх: 57% кожа, 38% текстиль, 5% синт.материалы, подкладка: текстиль, подошва: 100% резина</t>
  </si>
  <si>
    <t>12/13,5</t>
  </si>
  <si>
    <t>UA U PHANTOM 4 STORM</t>
  </si>
  <si>
    <t>3027625-102</t>
  </si>
  <si>
    <t>Under Armour UA U PHANTOM 4 STORM — это кроссовки, которые идеально сочетают стиль и функциональность. Верхняя часть выполнена из высококачественного текстиля и синтетических материалов, что обеспечивает легкость и великолепную воздухопроницаемость. Это позволяет ногам оставаться сухими и комфортными в любых условиях. Подошва из материала ЭВА гарантирует амортизацию и превосходное сцепление с поверхностью, снижая нагрузку на суставы. Застежка на шнуровке обеспечивает надежную фиксацию и удобную посадку на ноге. Эти кроссовки — отличный выбор для активного образа жизни, будь то тренировки в зале или повседневные прогулки.</t>
  </si>
  <si>
    <t>UA W FLOW BCL Wind 2-PNK</t>
  </si>
  <si>
    <t>3024911-601</t>
  </si>
  <si>
    <t>Under Armour FLOW BCL Wind 2 — нейтральные универсальные кроссовки для бегунов, которым нравится задавать темп. Новая верхняя часть Warp дает вам оптимальное ощущение фиксации, не защемляя ноги. Он также обеспечивает максимальную воздухопроницаемость, чтобы ваши ноги оставались прохладными во время бега в быстром темпе. Промежуточная подошва FLOW представляет собой цельный элемент для мгновенной амортизации. Поскольку межподошва состоит из одной части, материал служит дольше. Он распределяет давление на ноги, так что вы также можете дольше ходить на BCL Wind. Поскольку технология FLOW в промежуточной подошве делает пену такой прочной, было решено не добавлять дополнительную резину в качестве подошвы. Грубый профиль промежуточной подошвы, которая также служит изнашиваемой подошвой, обеспечивает хорошее сцепление и сцепление. Кроссовки можно подключить к вашему смартфону и приложению Under Armour MAPMYRUN через датчик Bluetooth. Датчик подключается к GPS-соединению вашего телефона. Это позволяет вам измерять данные о беге, такие как количество пройденных шагов, пройденное расстояние, темп и т. д. Это позволяет вам отслеживать пробежку и получать советы и информацию во время пробежки.</t>
  </si>
  <si>
    <t>UA Flow. Исключительная амортизация беговых кроссовок - быстрее, мягче и легче к достижению результатов. Прочность и сцепление при каждом шаге. Формованная стелька разработана с учетом анатомических особенностей стопы мужчин и женщин. Верхняя часть UA WARP распределяет нагрузку по зонам и фиксирует стопу, при этом снижает вес обуви за счет уменьшения слоев материала.; 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t>
  </si>
  <si>
    <t>94% текстиль, 6% синтетическое волокно, подошва: 100% этиленвинилацетат (эва)</t>
  </si>
  <si>
    <t>UA Summit Trek</t>
  </si>
  <si>
    <t>3028345-103</t>
  </si>
  <si>
    <t>Кроссовки Under Armour UA Summit Trek созданы для тех, кто стремится к новым вершинам, будь то в городе или на природе. Эти кроссовки сочетают в себе современный дизайн и передовые технологии, обеспечивая комфорт и поддержку в любой ситуации. Верхняя часть выполнена из легкого и дышащего материала, что позволяет ногам оставаться сухими даже при активных нагрузках. Технология амортизации обеспечивает мягкость и комфорт при каждом шаге, снижая ударные нагрузки на суставы. Прочная резиновая подошва с агрессивным протектором гарантирует надежное сцепление с разными типами поверхности, будь то асфальт или непростая тропа. С Under Armour UA Summit Trek вы всегда будете готовы к новым приключениям — с максимальным комфортом и уверенностью в каждом шаге.</t>
  </si>
  <si>
    <t>верх: 61% кожа, 21% синт.материалы, 18% текстиль, подкладка: текстиль, подошва: 100% резина</t>
  </si>
  <si>
    <t>UA W Charged Vantage</t>
  </si>
  <si>
    <t>3023565-603</t>
  </si>
  <si>
    <t>Изящный дизайн, амортизирующая накладка Charged Cushioning, глубокие канавки для гибкости и мягкая эластичная посадка дают вам все преимущества, необходимые для их достижения. Легкий, дышащий верх из эластичной сетки с формованной синтетической вставкой в средней части стопы для дополнительной прочности и поддержки. Съемная стелька из пеноматериала для максимального комфорта и амортизации при ходьбе. В межподошве Charged Cushioning используется формованная под давлением пена для максимальной долговечности.Подошва из твердой резины покрывает зоны с высокой ударной нагрузкой для большей прочности.Анатомически расположенные глубокие канавки для гибкости обеспечивают дополнительную гибкость.</t>
  </si>
  <si>
    <t>верх: 57% текстиль, 43% синтетический материал, подошва: 100% резина</t>
  </si>
  <si>
    <t>UA W CHARGED ALL-AROUND SPEEDKNIT</t>
  </si>
  <si>
    <t>1296221-918</t>
  </si>
  <si>
    <t>Первоклассное сочетание стиля и функциональности — кроссовки Ua W Charged All-Around Speedknit — это именно то, что вы искали! Их ультрамодный дизайн изготовлен из прочных материалов и отлично подойдет для любого вида тренировок. Уникальная внутренняя структура обеспечивает абсолютную поддержку вашей стопы во время любых движений. Совершенствуйте свои навыки и достигайте новых результатов благодаря технологии ускоренного заряда, которая обеспечивает мгновенную реакцию и поддержку вашего движения. Ua W Charged All-Around Speedknit — это лучший выбор для тех, кто стремится к успеху в спорте!</t>
  </si>
  <si>
    <t>UA W Charged Breathe SL</t>
  </si>
  <si>
    <t>3023733-103</t>
  </si>
  <si>
    <t>Дышащий и прочный верх из микрофибры с обработкой Never-Wet для сохранения прохлады и сухости.
Формованная стелька из EVA для комфорта при ходьбе.
В промежуточной подошве Charged Cushioning используется прессованная пена для максимальной отзывчивости и долговечности.
Подошва UA Rotational Resistance для легкого сцепления с фиксацией.
Подошва без шипов для более легкого и гибкого ощущения без ущерба для сцепления.</t>
  </si>
  <si>
    <t>верх: 83% синтетическиий материал, 17% тектсиль подкладка: 100% полиэстер подошва: 100% термопластик</t>
  </si>
  <si>
    <t>UA Court 96</t>
  </si>
  <si>
    <t>3028633-001</t>
  </si>
  <si>
    <t>Кеды Under Armour Court 96 – это идеальный выбор для тех, кто ценит универсальность, комфорт и безупречный внешний вид. Эти кроссовки гармонично сочетаются с любым стилем одежды, будь то повседневный casual или более строгий образ, что делает их незаменимыми спутниками в любой ситуации.
Особенности модели:
Премиальная кожа : Верх выполнен из высококачественной полной зернистой кожи, которая обеспечивает исключительный комфорт и долговечность. Материал не только приятен на ощупь, но и сохраняет презентабельный внешний вид даже после длительного использования.
Легкая амортизация : Средняя подошва из пеноматериала гарантирует оптимальную амортизацию, делая каждое движение легким и комфортным. Благодаря этому вы можете носить эти кеды весь день, не испытывая усталости.
Прочная подошва : Прозрачная резиновая подошва отличается повышенной износостойкостью и обеспечивает превосходное сцепление с поверхностью. Это позволяет чувствовать себя уверенно как на городских улицах, так и на спортивных площадках.</t>
  </si>
  <si>
    <t>верх: 98% кожа, 2% синт.материалы, подкладка: текстиль, подошва: 100% резина</t>
  </si>
  <si>
    <t>3028633-100</t>
  </si>
  <si>
    <t>Under Armour Charged Pursuit 3 GS 'Halo Grey Electro Pink'</t>
  </si>
  <si>
    <t>3025011-100</t>
  </si>
  <si>
    <t>Верх: 81% текстиль, 19% синтетический материал~Подошва: 71% этиленвинилацетат (ЭВА), 29% резина</t>
  </si>
  <si>
    <t>UA W Charged Bandit 7</t>
  </si>
  <si>
    <t>3024189-003</t>
  </si>
  <si>
    <t>Сверхлегкие и мягкие, чтобы вы могли пробежать мили. Легкая конструкция верхней части из искусственной сетки для улучшенной вентиляции. Мягкий воротник и язычок для дополнительного комфорта. Формованная стелька по всей длине плотно прилегает к стопе, предотвращая скольжение и обеспечивая идеальный комфорт под стопой. Межподошва Charged Cushioning более жесткая в пятке и более мягкая в передней части стопы для поддержки и комфорта. Стойка межподошвы из ТПУ для дополнительной стабильности и поддержки. Подошва из твердой резины покрывает зоны с высокой ударной нагрузкой, обеспечивая большую прочность и меньший вес. Анатомически расположенные гибкие канавки обеспечивают необходимую гибкость в ключевых областях.</t>
  </si>
  <si>
    <t>Верх: 85% текстиль,15% синтетический материал~Подошва: 100% резина</t>
  </si>
  <si>
    <t>UA Phantom X</t>
  </si>
  <si>
    <t>6007183-001</t>
  </si>
  <si>
    <t>Модель Phantom X — это эволюция нашей культовой серии Phantom. Эти кроссовки обеспечивают универсальность и функциональность, необходимые спортсменам, поэтому их можно носить где угодно, а футуристичный дизайн придаёт им свежий и выразительный вид.
• Инженерный дышащий трикотажный верх обеспечивает бесшовную посадку и комфортные тактильные ощущения
• Формованные детали и каркас из ТПУ в средней части стопы для дополнительной поддержки и износостойкости
• Футуристичная подошва с эффектом «призрачности» и амортизацией из суперкритической пены: мягкая, лёгкая и отзывчивая для комфорта в течение всего дня
• Полностью резиновая подошва с уникальной узловой текстурой для повышенного сцепления и износостойкости</t>
  </si>
  <si>
    <t>UA W Charged Aurora</t>
  </si>
  <si>
    <t>3022619-002</t>
  </si>
  <si>
    <t>Легкий дышащий верх сохраняет прохладу и сухость.
Пленки TPU с рельефной печатью помогают удерживать ногу в платформе, повышая прочность и защиту наверху.
Создан специально для женской стопы с обтекаемой формой.
В межподошве Charged Cushioning используется прессованный пенопласт для максимальной отзывчивости и долговечности.
Полностью резиновая подошва для максимальной прочности с разнонаправленным рисунком сцепления.</t>
  </si>
  <si>
    <t>Синтетические материалы, текстиль, резина</t>
  </si>
  <si>
    <t>CURRY 8 SNK</t>
  </si>
  <si>
    <t>3024429-005</t>
  </si>
  <si>
    <t>Вы никогда раньше не ощущали ничего подобного. Технология UA Flow полностью исключила резину, что сделало Curry 8 легче и невероятно цепкими. Это дает вам лучшее ощущение корта, позволяет вам начинать и останавливаться за долю секунды и быстрее отрываться от земли. Дышащий, легкий верх UA IntelliKnit с синтетическими накладками для стратегической поддержки. Конструкция кроссовок обеспечивает удобную посадку и ощущение носка. Новая технология амортизации UA Flow - сверхлегкая, упругая и обеспечивает безумное сцепление. Гибкая пластина Pebax добавляет поддержку и стабильность каждому движению. Подошва обеспечивает лучшее ощущение корта, так что вы можете делать рывок и останавливаться быстрее, чем когда-либо прежде. Средний Вес кроссовка : 326 грамм.</t>
  </si>
  <si>
    <t>65% текстиль, 22% искусственная кожа, 13% синтетический материал</t>
  </si>
  <si>
    <t>3027593-925</t>
  </si>
  <si>
    <t>желтый</t>
  </si>
  <si>
    <t>UA W Phantom 4</t>
  </si>
  <si>
    <t>3027594-873</t>
  </si>
  <si>
    <t>Объединяя комфорт и долговечность технического performance-кроссовка с элегантным внешним видом и ощущениями городского кеда, UA Phantom 4 становится идеальным завершением любого образа.
Формованная мягкая и структурированная ткань обеспечивает комфорт как внутри, так и снаружи.
Вязаный воротник для посадки и ощущений как у носка, а также исключительного комфорта при надевании.
Стильный TPU задник и петля на пятке для удобного надевания и снятия.
Мягкая формованная стелька для дополнительного комфорта.
Особо упругая амортизация UA HOVR™+ снижает ударные нагрузки, возвращает энергию и помогает двигаться вперед.
Резиновая подошва для улучшенного сцепления и долговечности.
UA Phantom 4 — это сочетание технологичности и стильного дизайна для повседневной жизни и активного отдыха.</t>
  </si>
  <si>
    <t>UA Infinite MVMNT SE</t>
  </si>
  <si>
    <t>6000902-100</t>
  </si>
  <si>
    <t>Откройте для себя идеальное сочетание стиля, комфорта и функциональности в спортивной обуви Under Armour Infinite Mvmnt Special Edition.
Идеально подходящие как для тренировок, так и для повседневной носки, эти кроссовки обеспечивают легкость, высокую воздухопроницаемость и динамическую защиту от вибраций.
Верх из прочного и дышащего материала естественным образом адаптируется к форме вашей стопы, обеспечивая комфортную посадку.
Язычок из материала Ariaprene добавляет еще больше гибкости и поддержки, позволяя двигаться свободно и с комфортом.
Благодаря инновационной технологии HOVR вы получаете эффективное поглощение ударов и возврат энергии, уменьшая нагрузку на ноги даже во время самых интенсивных занятий.
Подошва ThinWeb из резины обеспечивает превосходную износостойкость и отличное сцепление с поверхностью, даря вам уверенность при беге и движениях.
Независимо от того, занимаетесь ли вы спортом или просто ищете удобные кроссовки на каждый день, Under Armour Infinite Mvmnt Special Edition — это идеальный выбор для вас!
Характеристики:
Пол: Мужские
Цвет: Черный, Белый
Легкий и дышащий верх для прохладного ощущения в течение всего дня
Язычок из материала Ariaprene обеспечивает комфортную посадку и повышенную гибкость
Технология амортизации HOVR™ , которая поглощает удары и усиливает возврат энергии
Резиновая подошва ThinWeb для долговечности и надежного сцепления
Современный спортивный дизайн , подходящий под любой повседневный или спортивный образ
Комфорт. Стиль. Производительность. Все в одной паре кроссовок.</t>
  </si>
  <si>
    <t>UA Sola</t>
  </si>
  <si>
    <t>6005284-104</t>
  </si>
  <si>
    <t>Созданы, чтобы носить повсюду. Благодаря четким линиям, выразительным деталям и ретро-мотивам, отсылающим к спортивной ДНК бренда, кроссовки UA Sola — идеальная обувь на каждый день. Они оснащены всеми технологиями, которые вы ожидаете от нас: легкий верх, ТПУ-поддержка свода стопы и амортизирующая промежуточная подошва из ЭВА для легкости и комфорта.
• Легкий верх с 3D-напечатанными накладками, светоотражающими вставками и яркими фирменными элементами
• Ретро-беговая ТПУ-рама на пятке и усилители для дополнительной поддержки
• Амортизирующая промежуточная подошва из ЭВА обеспечивает легкость, комфорт и футуристичный дизайн
• Прочная резиновая подметка для повседневной носки</t>
  </si>
  <si>
    <t>верх: нат.кожа, текстиль; подкладка: текстиль; подошва: резина</t>
  </si>
  <si>
    <t>UA HOVR Apparition RTRFTR TC</t>
  </si>
  <si>
    <t>3027595-123</t>
  </si>
  <si>
    <t>Дышащий верх со стратегической синтетической накладкой обеспечивает дополнительную поддержку и долговечность там, где это необходимо. Улучшенная стелька обеспечивает комфорт в течение всего дня.Отзывчивая амортизация UA HOVR™ снижает удары, восстанавливает потерянную энергию и обеспечивает необходимое движение. Цельнорезиновая подошва обеспечивает превосходное сцепление и долговечность.</t>
  </si>
  <si>
    <t>бежевый/зеленый</t>
  </si>
  <si>
    <t>верх: нат.кожа, текстиль, иск. кожа; подкладка: текстиль; подошва: резина</t>
  </si>
  <si>
    <t>6/7,5</t>
  </si>
  <si>
    <t>UA HOVR SUMMIT FT</t>
  </si>
  <si>
    <t>3022946-100</t>
  </si>
  <si>
    <t>Кроссовки Ua U Hovr Summit Ft - это элитная обувь для любителей активного образа жизни. Созданные с использованием самых последних технологий, они обеспечивают гибкость, комфорт и поддержку в самых экстремальных условиях. Невесомый верх из дышащего материала и эргономичная подошва из прочного каучука обеспечат непревзойденную амортизацию при любых видах нагрузок. Будьте уверены, что с кроссовками Ua U Hovr Summit Ft вы будете готовы к любым испытаниям и достигнете новых высот в своих спортивных целях.</t>
  </si>
  <si>
    <t>верх: 68% текстиль, 32% синтетические материалы, подошва: 100% резина</t>
  </si>
  <si>
    <t>UA W HOVR Rise 3</t>
  </si>
  <si>
    <t>3024274-401</t>
  </si>
  <si>
    <t>синтетические материалы, текстиль, резина</t>
  </si>
  <si>
    <t>UA FLOW FUTR X</t>
  </si>
  <si>
    <t>3024968-003</t>
  </si>
  <si>
    <t>Это новая технология амортизации, позволяющая создать мягкую, но при этом невероятно прочную обувь, обеспечивающую хорошее сцепление с поверхностью. Больше нет необходимости в привычной резиновой подошве. Такая технология делает обувь легкой и комфортной, что позволяет увеличить скорость при беге. Верхняя часть с технологией Warp обеспечивает оптимальную фиксацию на ноге и максимальную циркуляцию воздуха благодаря легкой закрытой конструкции. Подключитесь к приложению Under Armour MAPMYRUN, которое регистрирует и анализирует спортивные показатели для того, чтобы помочь вам улучшить беговые результаты.</t>
  </si>
  <si>
    <t>Верх: 58% синтетический материал,42% текстиль~Подошва: 100% этиленвинилацетат</t>
  </si>
  <si>
    <t>UA Speedform Gemini</t>
  </si>
  <si>
    <t>3026770-600</t>
  </si>
  <si>
    <t>Представьте обувь, которая словно соткана из воздуха и света. Инновационная технология UA SpeedForm® создает вторую кожу для ваших ступней, идеально повторяя каждый изгиб и устраняя малейшие помехи в движении. Сверхлегкая сетчатая ткань дышит вместе с вами, словно вторая кожа, даря непревзойденный комфорт даже в самые жаркие моменты.
Каждый шаг становится увереннее благодаря внешнему пяточному стабилизатору, который поддерживает вашу ногу с безупречной точностью. Встроенная внутренняя стелька создает эффект невесомости, где мягкость встречается с прочностью, а гладкость перетекает в удобство без единого шва.
Технология Charged Cushioning® превращает каждое прикосновение к земле в мощный импульс вперед - пена средней подошвы отвечает мгновенной реактивностью и сохраняет свои свойства даже после сотен километров. А особо прочная резина в области пятки не просто защищает - она поглощает удары, превращая их в энергию для следующего шага.
Эта обувь - не просто элемент гардероба, это продолжение вашего тела, созданное для тех, кто ценит совершенство во всем.</t>
  </si>
  <si>
    <t>верх: 98% текстиль, 2% синт.материалы, подкладка: текстиль, подошва: 100% резина</t>
  </si>
  <si>
    <t>3027593-001</t>
  </si>
  <si>
    <t>3027593-105</t>
  </si>
  <si>
    <t>3027594-011</t>
  </si>
  <si>
    <t>3027595-100</t>
  </si>
  <si>
    <t>UA HOVR APPARITION RTRFTR TC</t>
  </si>
  <si>
    <t>3027595-108</t>
  </si>
  <si>
    <t>верх: 58% кожа, 38% текстиль, 4% синт.материалы, подкладка: текстиль, подошва: 100% резина</t>
  </si>
  <si>
    <t>3027595-410</t>
  </si>
  <si>
    <t>3027625-001</t>
  </si>
  <si>
    <t>UA U Phantom 4 Storm</t>
  </si>
  <si>
    <t>3027625-002</t>
  </si>
  <si>
    <t>3027625-101</t>
  </si>
  <si>
    <t>3027625-308</t>
  </si>
  <si>
    <t>UA U Phantom 4 RFLCT</t>
  </si>
  <si>
    <t>3027672-001</t>
  </si>
  <si>
    <t>Кроссовки Under Armour U Phantom 4 RFLCT — это универсальный выбор для повседневного использования. Выполненные из 78% текстиля и 22% синтетических материалов, они обеспечивают оптимальную циркуляцию воздуха и комфорт. Внутренняя текстильная подкладка добавляет мягкости и удобства. Прочная резиновая подошва гарантирует отличное сцепление и амортизацию на различных поверхностях. Застежка на шнуровке обеспечивает надежную фиксацию и индивидуальную посадку. Эти стильные кроссовки идеально подходят как для активного дня в городе, так и для легких тренировок, сочетая в себе комфорт и функциональность.</t>
  </si>
  <si>
    <t>3027672-014</t>
  </si>
  <si>
    <t>UA HOVR APPARITION TSM</t>
  </si>
  <si>
    <t>3028121-001</t>
  </si>
  <si>
    <t>Синтетические верхние накладки для дополнительной поддержки и прочности там, где это необходимо
Отзывчивая амортизация UA HOVR™ смягчает удары, возвращает энергию и помогает двигаться вперед
Полностью резиновая подошва для улучшенного сцепления и долговечности
Дышащий верх
Усовершенствованная стелька для комфорта в течение всего дня</t>
  </si>
  <si>
    <t>3028345-004</t>
  </si>
  <si>
    <t>верх: 62% кожа, 20% синт.материалы, 18% текстиль, подошва: 100% резина</t>
  </si>
  <si>
    <t>3028345-105</t>
  </si>
  <si>
    <t>3028424-202</t>
  </si>
  <si>
    <t>UA Official</t>
  </si>
  <si>
    <t>3028486-001</t>
  </si>
  <si>
    <t>Кеды</t>
  </si>
  <si>
    <t>Мужские кроссовки UA Official.
Детали:
Верх из гладкой кожи для комфорта и прочности
Внутренний слой из поролона обеспечивает мягкую и приятную посадку
Стелька с системой Deluxe Comfort точно повторяет форму стопы для максимального удобства при ходьбе
Надёжная и устойчивая подошва с улучшенным протектором для отличного сцепления с поверхностью.</t>
  </si>
  <si>
    <t>верх: нат.кожа, иск.кожа; подкладка: текстиль; подошва: резина</t>
  </si>
  <si>
    <t>UA Aura</t>
  </si>
  <si>
    <t>6005279-016</t>
  </si>
  <si>
    <t>6005279-102</t>
  </si>
  <si>
    <t>UA Apparition Tech</t>
  </si>
  <si>
    <t>6005280-001</t>
  </si>
  <si>
    <t>Верх из дышащей двухцветной сетки с многослойными вставками из смешанных материалов для лучшей поддержки и долговечности.
Улучшенная стелька для комфорта на протяжении всего дня.
Чувствительная амортизация UA HOVR снижает ударную нагрузку, возвращает энергию и помогает двигаться вперёд.
Полноразмерная резиновая подошва для улучшенного сцепления и долговечности.
Светоотражающие детали.</t>
  </si>
  <si>
    <t>6005280-014</t>
  </si>
  <si>
    <t>6005280-102</t>
  </si>
  <si>
    <t>белый/голубой</t>
  </si>
  <si>
    <t>5,5/7</t>
  </si>
  <si>
    <t>UA Motion</t>
  </si>
  <si>
    <t>6005795-001</t>
  </si>
  <si>
    <t>Мужские кроссовки Under Armour Tempo сочетают смелый спортивный стиль и комфорт на весь день. Мягкий кожаный верх с прочными накладками, легкая амортизация и дизайн, вдохновленный баскетбольной обувью, обеспечивают устойчивость, сцепление и современный спортивный вид.
ХАРАКТЕРИСТИКИ
• Мягкий кожаный верх с прочными накладками для классического, аккуратного баскетбольного стиля и комфорта на протяжении всего дня
• Промежуточная подошва с комфортной пеной обеспечивает легкую амортизацию
• Дизайн, вдохновленный баскетбольными кроссовками, с традиционной чашеобразной промежуточной подошвой и подметкой
• Тканый логотип на язычке, тисненый логотип на пятке и рельефные логотипы по бокам для выразительного образа</t>
  </si>
  <si>
    <t>6005795-100</t>
  </si>
  <si>
    <t>6005795-102</t>
  </si>
  <si>
    <t>верх: кожа, иск. кожа; подкладка: текстиль; подошва: резина</t>
  </si>
  <si>
    <t>UA Mirage Sport</t>
  </si>
  <si>
    <t>6005797-498</t>
  </si>
  <si>
    <t>Красивые, простые и лаконичные кроссовки, универсальные и удобные в носке. Они имеют верх из дышащей сетки и замши, амортизирующую промежуточную подошву из ЭВА для легкой и комфортной ходьбы, а также прочную резиновую подошву для универсального сцепления.
Детали:
Верх из дышащей сетки дополнен прочными кожаными и замшевыми накладками с плавным рисунком в стиле ретро, вдохновленным беговыми кроссовками.
Мягкая промежуточная подошва из ЭВА обеспечивает легкость и комфорт.
Резиновая подошва по всей длине для универсального сцепления и дополнительной износостойкости.
Украшенный логотип для стильного вида.</t>
  </si>
  <si>
    <t>UA HB-LO</t>
  </si>
  <si>
    <t>6005922-108</t>
  </si>
  <si>
    <t>Модель HB-LO представляет динамичный дизайн в баскетбольном стиле, сочетающий эстетику спортивной одежды UA с уникальной ДНК нашего бренда. Эти кроссовки созданы для комфорта в течение всего дня: премиальная амортизация и мягкий стелёчный слой обеспечивают плавный, амортизированный ход — от площадки до улицы.
• Верх из премиальной кожи: прочный и комфортный, с выразительным рельефным логотипом из ТПУ
• Текстильная задняя часть с дополнительным слоем поролона для комфорта в течение всего дня
• Мягкий стелёчный слой для мгновенного комфорта при надевании
• Прогрессивная конструкция средней подошвы со вставкой из ЭВА обеспечивает плавный, амортизированный ход — от площадки до улицы
• Массивная резиновая подошва для универсального сцепления и повышенной износостойкости</t>
  </si>
  <si>
    <t>верх: нат.кожа, иск.кожа, текстиль; подкладка: текстиль; подошва: резина</t>
  </si>
  <si>
    <t>UA Arc 96</t>
  </si>
  <si>
    <t>6006060-001</t>
  </si>
  <si>
    <t>верх: кожа,текстиль, иск. кожа; стелька: текстиль; подошва: резина</t>
  </si>
  <si>
    <t>UA Echo</t>
  </si>
  <si>
    <t>6006061-425</t>
  </si>
  <si>
    <t>UA Flex</t>
  </si>
  <si>
    <t>6007037-001</t>
  </si>
  <si>
    <t>Эти кроссовки выглядят стильно и сочетаются с любым образом, поэтому их можно носить где угодно. Верх из премиальной кожи обеспечивает комфорт в течение всего дня, а износостойкая подошва — надёжное сцепление.
• Верх из полнозернистой кожи с кожаными накладками: прочный и комфортный
• Текстильная ребристая задняя часть с тиснёным логотипом
• Съёмная подошва из ЭВА обеспечивает плавный, амортизированный ход
• Полноразмерная резиновая подошва для универсального сцепления и повышенной износостойкости</t>
  </si>
  <si>
    <t>верх: нат.кожа, иск.кожа, текстиль; подкладка: текстиль; подошва: резина, пластик</t>
  </si>
  <si>
    <t>6007183-008</t>
  </si>
  <si>
    <t>6007183-069</t>
  </si>
  <si>
    <t>UA W Phantom X</t>
  </si>
  <si>
    <t>6007184-001</t>
  </si>
  <si>
    <t>UA Aura RPSTP</t>
  </si>
  <si>
    <t>6008992-002</t>
  </si>
  <si>
    <t>Объёмный верх из сверхпрочного рипстоп-материала — лёгкий и комфортный.
Амортизирующая технология UA HOVR™ эффективно гасит ударную нагрузку, возвращает энергию и помогает вам уверенно двигаться вперёд.
Резиновая подошва обеспечивает надёжное сцепление и долговечность, а специальные гибкие канавки — там, где это нужно — улучшают естественную подвижность стопы.</t>
  </si>
  <si>
    <t>6008992-338</t>
  </si>
  <si>
    <t>UA GS Nova</t>
  </si>
  <si>
    <t>6008993-002</t>
  </si>
  <si>
    <t>Шнуровка Bungee, амортизация UA HOVR™ и универсальный задник, создают обувь, которая одновременно смелая и удобная. Легкий верх из сетчатого материала. Прорезиненный носок для дополнительной прочности. Технология UA HOVR™ снижает ударную нагрузку, возвращает энергию и помогает двигаться вперед. Конвертируемый задник UA SlipSpeed™ позволяет переходить из режима тренировки в режим восстановления.</t>
  </si>
  <si>
    <t>UA Tech Runner</t>
  </si>
  <si>
    <t>6011293-280</t>
  </si>
  <si>
    <t>Элегантная верхняя часть изготовлена из дышащей сетки с прочной кожей и замшевыми накладками. Амортизированная подошва из ЭВА обеспечивает легкость и комфорт при ходьбе. Резиновая подошва по всей длине для универсального сцепления и дополнительной прочности. Металлизированные пленки и логотип с драгоценными камнями для изысканного стиля.</t>
  </si>
  <si>
    <t>6011293-338</t>
  </si>
  <si>
    <t>зеленый/серый</t>
  </si>
  <si>
    <t>UA SportsMask-RED</t>
  </si>
  <si>
    <t>1368010-600</t>
  </si>
  <si>
    <t>Маска для лица</t>
  </si>
  <si>
    <t>Прочие аксессуары</t>
  </si>
  <si>
    <t>Когда представители здравоохранения сказали, что здоровые люди должны носить маски для лица, мы начали создавать прототипы, пока не сделали идеальную маску для спортсменов. В нем есть необходимый вам воздушный поток, ощущение прохлады и он лучше всего подходит для бега или тренировок.
Изготовлен из высококачественных материалов UA, предназначен для ношения весь день и во время занятий спортом.
Водонепроницаемая внешняя оболочка из гладкой дышащей ткани-распорки.
Антимикробная обработка внутреннего слоя для сохранения свежести маски.
Полиуретановая пена с открытыми порами пропускает воздух, но затрудняет прохождение влаги и пота.
Ткань UA Iso-Chill на внутренней подкладке и ушных петлях остается прохладной на ощупь, пока вы ее носите.
Структурированный дизайн подчеркивает лицо и губы, обеспечивая дополнительный комфорт и воздухопроницаемость.
Мягкая и гладкая ткань обеспечивает комфорт при прикосновении к лицу и отводит влагу ото рта к слою вставки.
Ткань подкладки расширяется вверх и имеет стратегическую форму, чтобы плотно прилегать к переносице.
Мягкая регулируемая переносица для фиксации на лице
Эластичные амбушюры и боковые панели для более удобной посадки
В комплект входит моющийся противомикробный чехол для переноски с биркой для хранения вашего имени или номера.
Предназначен для повседневного ношения и использования в спорте здоровыми людьми
Немедицинская и нехирургическая маска, не защищает от вирусов
Если вы чувствуете дискомфорт во время ношения: прекратите тренировку, снимите маску и, если необходимо, обратитесь к врачу.
Амбушюры из прочной, не изнашивающейся ткани, предназначенной для уменьшения нагрузки на ухо и предотвращения натирания
НАЙДИТЕ СВОЙ РАЗМЕР: используйте гибкую измерительную ленту, чтобы пройти от переносицы до ушного прохода.</t>
  </si>
  <si>
    <t>100% полиэстер, подклад: 77% нейлон, 23% эластан, вставки: 100% полиуретан</t>
  </si>
  <si>
    <t>XS/S</t>
  </si>
  <si>
    <t>UA SportsMask-PPL</t>
  </si>
  <si>
    <t>1368010-585</t>
  </si>
  <si>
    <t>XL/XXL</t>
  </si>
  <si>
    <t>UA Project Rock SportsMask</t>
  </si>
  <si>
    <t>1368451-410</t>
  </si>
  <si>
    <t>Маска лицевая</t>
  </si>
  <si>
    <t>Внешний слой: 100% полиэстер; Внутренняя часть, лямки: 77% нейлон 23% эластан; Вставки: 100% полиуретан</t>
  </si>
  <si>
    <t>Performance 7.5cm 2Pk</t>
  </si>
  <si>
    <t>1276991-001</t>
  </si>
  <si>
    <t>Напульсник (2 шт)</t>
  </si>
  <si>
    <t>Напульсник изготовленн из многоканальных рабочих волокон. Материал отводит пот и очень быстро сохнет. Вышит логотип UA.</t>
  </si>
  <si>
    <t>96% полиэстер, 4% эластан</t>
  </si>
  <si>
    <t>OSFA</t>
  </si>
  <si>
    <t>_</t>
  </si>
  <si>
    <t>UA Braided Golf Belt</t>
  </si>
  <si>
    <t>1361569-001</t>
  </si>
  <si>
    <t>Ремень</t>
  </si>
  <si>
    <t>UA Braided Golf Belt - это роскошный и стильный аксессуар, который станет незаменимым помощником на поле для всех любителей гольфа. Изготовленный из качественных материалов, этот ремень отвечает самым высоким стандартам качества и прекрасно подходит для повседневного использования. Узорчатая оплетка добавляет оригинальности и элегантности, в то время как удобная пряжка обеспечивает идеальную посадку и комфорт при движении. Будьте уверены, что с UA Braided Golf Belt вы выглядите стильно и одновременно с этим ощущаете себя комфортно!</t>
  </si>
  <si>
    <t>основной материал: 59% полиэстер,41% эластан~материал-2: 100% полиуретан</t>
  </si>
  <si>
    <t>30</t>
  </si>
  <si>
    <t>1361569-035</t>
  </si>
  <si>
    <t>основной материал: 59% полиэстер,41% эластан~материал 2: 100% полиуретан</t>
  </si>
  <si>
    <t>32</t>
  </si>
  <si>
    <t>34</t>
  </si>
  <si>
    <t>36</t>
  </si>
  <si>
    <t>UA SportsMask</t>
  </si>
  <si>
    <t>1368010-002</t>
  </si>
  <si>
    <t>Desafio</t>
  </si>
  <si>
    <t>1279429-001</t>
  </si>
  <si>
    <t>Перчатки вратарские</t>
  </si>
  <si>
    <t>Спорт. инвентарь</t>
  </si>
  <si>
    <t>Прочий инвентарь</t>
  </si>
  <si>
    <t>Ладонь из латекса толщиной 3 мм. Тыльная сторона из ЭВА (этиленвинилацетат) с рельефным рисунком. Манжеты ClutchFit прилегают к запястью, обеспечивая удобную фиксацию. Застежка полностью обхватывает запястье.</t>
  </si>
  <si>
    <t>95% полипропилен, 5% термополиуретан.</t>
  </si>
  <si>
    <t>UA Triumph Campus BP</t>
  </si>
  <si>
    <t>1384462-015</t>
  </si>
  <si>
    <t>Рюкзак</t>
  </si>
  <si>
    <t>Сумки и рюкзаки</t>
  </si>
  <si>
    <t>Рюкзаки</t>
  </si>
  <si>
    <t>Водонепроницаемая технология UA Storm® сохранит ваши вещи сухими. Мягкий карман для ноутбука – вмещает MacBook Pro® с диагональю до 15 дюймов или ноутбук аналогичного размера. 
Регулируемые ремни эргономичной формы для более удобной переноски.
Передний карман с пряжкой для дополнительного хранения и карман на молнии для ценных вещей. 
Боковой карман для бутылки с водой.
Состав: 100% полиэстер
Размер: 28х46х15 см</t>
  </si>
  <si>
    <t>UA Summit SM BP</t>
  </si>
  <si>
    <t>1382311-001</t>
  </si>
  <si>
    <t>Универсальный компактный рюкзак для города, спорта, путешествий и повседневных задач.
Особенности:
• Технология UA Storm — водоотталкивающее покрытие
• Эргономичная спинка с дышащими вставками
• Регулируемые лямки с системой LEVELED™ — равномерное распределение веса
• Roll-top дизайн с эластичным шнуром и крючком
• Встроенное отделение для ноутбука до 13″
• Передний карман на молнии, два боковых — для бутылок
• Регулируемый шнур спереди — удобно для куртки или обуви
• Изготовлен из переработанного полиэстера (не менее 90%)
Размеры:  12 × 43 × 27 см
Объём: около 18 литров</t>
  </si>
  <si>
    <t>95% полиэстер, 4% нейлон, 1% эластан</t>
  </si>
  <si>
    <t>1384462-390</t>
  </si>
  <si>
    <t>Женский рюкзак UA Studio Campus BP 
Водостойкая технология UA Storm сохранит ваши вещи сухими. Регулируемые плечевые ремни эргономичной формы для комфорта.
 Отделение для ноутбука с мягкой подкладкой - вмещает MacBook Pro® 15" или ноутбук аналогичного размера. 
Один передний карман для ценных вещей на молнии увеличенного размера и один большой передний накладной карман.
 D-кольцо для крепления, чтобы вы могли пристегнуть что-нибудь с карабином для удобства транспортировки. 
Два боковых кармана для бутылок с водой. 
Размер: 28х40,5х15 см</t>
  </si>
  <si>
    <t>UA Hustle 6.0 Backpack</t>
  </si>
  <si>
    <t>1384672-477</t>
  </si>
  <si>
    <t>Водонепроницаемая технология UA Storm обеспечивает надежную защиту ваших вещей от влаги в самых экстремальных условиях. Рюкзак выполнен из прочного материала с мягким на ощупь верхним покрытием, которое не только приятно на ощупь, но и добавляет дополнительную устойчивость к износу. Внутри вы найдете мягкий карман, идеально подходящий для хранения ноутбука размером до 16 дюймов, например, MacBook Pro® или другого устройства аналогичного размера. Кроме того, предусмотрено дополнительное отделение, которое может использоваться как карман для обуви или белья. Для удобства хранения мелких необходимых вещей предусмотрен надежный передний карман на молнии, а боковой карман подходит для бутылки с водой объемом до 32 унций. Стропа Molle добавляет возможность крепления дополнительных аксессуаров. Верхняя ручка обеспечивает удобство при переноске, а универсальный размер подходит для большинства пользователей.</t>
  </si>
  <si>
    <t>UA Studio Campus BP</t>
  </si>
  <si>
    <t>1384675-001</t>
  </si>
  <si>
    <t>Водостойкая технология UA Storm сохранит ваши вещи сухими. 
Регулируемые плечевые ремни эргономичной формы для комфорта.
Отделение для ноутбука с мягкой подкладкой - вмещает MacBook Pro® 15" или ноутбук аналогичного размера. 
Один передний карман для ценных вещей на молнии увеличенного размера и один большой передний накладной карман.
 D-кольцо для крепления, чтобы вы могли пристегнуть что-нибудь с карабином для удобства транспортировки. Два боковых кармана для бутылок с водой.
Технологии: ua storm®
Размер: 28х40,5х15 см</t>
  </si>
  <si>
    <t>Hustle Sport 6.0 Backpack</t>
  </si>
  <si>
    <t>6000397-425</t>
  </si>
  <si>
    <t>Эти сумки прочные, лёгкие, и вода с них просто стекает — эластичные петли позволяют быстро убрать вещи, например, тренировочную куртку.
Водоотталкивающая технология UA Storm сохраняет ваши вещи сухими.
Мягкая подкладка на спинке и анатомически изогнутые лямки обеспечивают удобство ношения.
Мягкий внутренний карман для ноутбука с органайзером — подходит для MacBook Pro® 16 дюймов или ноутбуков аналогичного размера.
Передний карман с эластичной стяжкой для удобного хранения куртки, пары обуви или мяча.
Большой застёгивающийся на молнию передний карман для ценных мелочей.
Прочный, износостойкий покрытый материал на дне сумки.
Два боковых кармана для бутылок с водой — подходят бутылки объёмом до 950 мл.
Обработано водоотталкивающим составом без использования фторсодержащих веществ.</t>
  </si>
  <si>
    <t>UA W Locker V SL</t>
  </si>
  <si>
    <t>3028095-348</t>
  </si>
  <si>
    <t>Шлепанцы</t>
  </si>
  <si>
    <t>Сандалии и шлепанцы</t>
  </si>
  <si>
    <t>Тренировка, поход в сауну или отдых на пляже — куда бы вы ни собрались, не забудьте с собой шлепанцы от Under Armour.
ОТВЕДЕНИЕ ВЛАГИ
Модель выполнена из одного куска литого ЭВА, быстро сохнет и отлично подходит для использования у бассейна.
КОМФОРТ
Эргономичная конструкция — гарантия вашего максимального комфорта во время ношения.</t>
  </si>
  <si>
    <t>верх: 100% синт.материалы, подошва: 100% этилвинилацетат (ЭВА)</t>
  </si>
  <si>
    <t>UA Ignite Pro 8 Fix</t>
  </si>
  <si>
    <t>6010383-100</t>
  </si>
  <si>
    <t>Пена с эффектом памяти не только приятна на ощупь, но и помогает снять нагрузку со стоп после тренировки.
Особенности:
Фиксированный ремешок с закругленными краями и мягкой поролоновой подкладкой для дополнительного комфорта
Обновленная, более мягкая стелька из пены с эффектом памяти обеспечивает беспрецедентный комфорт
Приподнятые боковые стенки и увеличенная высота для дополнительной устойчивости и комфорта
Износостойкая подошва из EVA с рифленым рисунком для улучшенного сцепления</t>
  </si>
  <si>
    <t>верх: иск.кожа; подкладка: отсутствует; подошва: пластик</t>
  </si>
  <si>
    <t>UA B Locker V SL</t>
  </si>
  <si>
    <t>3028732-001</t>
  </si>
  <si>
    <t>Детские шлёпанцы Locker V Slides от бренда Under Armour — отличный выбор для расслабленных дней и стильного проведения досуга. Созданные для комфорта и лёгкости в носке, эти шлёпанцы предлагают быстрое и практичное решение после интенсивной тренировки, на пляже или у бассейна. Их лёгкая и дышащая конструкция позволяет ногам оставаться свежими, а простой и современный дизайн легко сочетается с различной спортивной одеждой или повседневными образами.
Несмотря на простоту, шлёпанцы обеспечивают премиальный комфорт благодаря поддержке, которую гарантирует анатомически формованная внутренняя часть.
Особенности:
• Подошва обеспечивает надёжное сцепление на мокрых поверхностях, что делает их идеальными для использования у воды или после спорта.
• Благодаря регулируемой ширине, Locker V Slides идеально подходят тем, кто ищет комфорт, свободу движений и лёгкость в надевании во время отдыха.
• Шлёпанцы изготовлены из цельного материала EVA, который чрезвычайно лёгкий и быстро сохнет. Это позволяет им быстро высыхать после использования в воде или после тренировки.
• Конструкция предусматривает дополнительные дренажные отверстия, которые обеспечивают быстрый отток воды, уменьшая удержание влаги и предотвращая дискомфорт при ношении в течение всего дня.
• Обновленная амортизация и слегка приподнятая высота подошвы обеспечивают исключительный комфорт, что означает большую поддержку и мягкие ощущения при каждом шаге — как на суше, так и на мокрой поверхности.
• Текстурированная стелька и подошва обеспечивают лучшее сцепление и повышенную устойчивость на мокрых поверхностях, таких как бассейны или душевые, гарантируя безопасную ходьбу без скольжения.</t>
  </si>
  <si>
    <t>верх: пластик; подкладка: отсутствует; подошва: пластик</t>
  </si>
  <si>
    <t>UA B ARMR Slide</t>
  </si>
  <si>
    <t>6007536-001</t>
  </si>
  <si>
    <t>верх: пластик; подкладка: отсутствует; подошва: пластик</t>
  </si>
  <si>
    <t>4</t>
  </si>
  <si>
    <t>6007536-400</t>
  </si>
  <si>
    <t>синий/белый</t>
  </si>
  <si>
    <t>UA B ARMR Shower Slide</t>
  </si>
  <si>
    <t>6007537-001</t>
  </si>
  <si>
    <t>6007537-024</t>
  </si>
  <si>
    <t>UA U Ansa Elevate SL</t>
  </si>
  <si>
    <t>3025044-001</t>
  </si>
  <si>
    <t>Плавание</t>
  </si>
  <si>
    <t>Получите в свои руки шлепанцы унисекс UA Ansa Elevate от лучших производителей кроссовок по всему миру.</t>
  </si>
  <si>
    <t>верх 89% синтетический материал, 11% текстиль, подошва 100% этиленвинилацетат (эва)</t>
  </si>
  <si>
    <t>UA M Ansa Fix SL</t>
  </si>
  <si>
    <t>3023761-105</t>
  </si>
  <si>
    <t>Фиксированный ремешок с добавлением поролона снизу для очень удобной посадки и дополнительной мягкости. Стелька из ЭВА обеспечивает приятную амортизацию под ногами. Подошва обеспечивает отличную прочность и сцепление.</t>
  </si>
  <si>
    <t>верх: 100% синтетический материал, подошва: 100% этиленвинилацетат (эва)</t>
  </si>
  <si>
    <t>UA CORE PTH SL</t>
  </si>
  <si>
    <t>3021286-001</t>
  </si>
  <si>
    <t>Быстросохнущая, цельная конструкция из формованного материала EVA, идеально подходящая для использования в раздевалке или у бассейна.
Эргономичная конструкция для максимального комфорта и посадки.</t>
  </si>
  <si>
    <t>верх: пластик; подошва: пластик</t>
  </si>
  <si>
    <t>3021286-400</t>
  </si>
  <si>
    <t>Быстросохнущий материал  EVA, идеально подходящий для использования в раздевалке или у бассейна.
Эргономичная конструкция для максимального комфорта и посадки.</t>
  </si>
  <si>
    <t>UA M Locker V SL</t>
  </si>
  <si>
    <t>3028094-025</t>
  </si>
  <si>
    <t>Шлепанцы Under Armour Locker V — это уникальная летняя обувь, созданная с акцентом на максимальный комфорт и функциональность. Их цельная конструкция из формованного материала EVA обеспечивает исключительную прочность и устойчивость к повреждениям. Шлепанцы отлично впитывают влагу с поверхности стопы, что делает их идеальным выбором для тех, кто ценит гигиену и комфорт в условиях повышенной влажности.
Благодаря быстросохнущим свойствам шлепанцы Under Armour Locker V станут отличным спутником во время посещения бассейна, спа-салона или спортзала. Улучшенная амортизация и увеличенная толщина подошвы обеспечивают непревзойденный комфорт при носке. Даже длительное использование не вызывает усталости ног — это оценят особенно активные люди.
Текстурированная стелька и специально разработанная подошва гарантируют отличное сцепление даже на мокрых и скользких поверхностях, минимизируя риск поскользнуться. Эта особенность крайне важна при использовании шлепанцев возле бассейнов или в душевых.</t>
  </si>
  <si>
    <t>3028095-001</t>
  </si>
  <si>
    <t>3028095-025</t>
  </si>
  <si>
    <t>3028095-100</t>
  </si>
  <si>
    <t>UA W Ignite Pro 8 SL</t>
  </si>
  <si>
    <t>6000033-001</t>
  </si>
  <si>
    <t>Шлепанцы Under Armour Ignite Pro 8 созданы для тех, кто ценит комфорт и поддержку после тренировок или в течение дня. Эта модель сочетает в себе современные технологии и стильный дизайн, делая их идеальным выбором как для активного отдыха, так и для повседневной носки.
Мягкая пена с эффектом памяти: Подошва из обновленной, более мягкой пены с эффектом памяти обеспечивает исключительный комфорт и помогает снять напряжение с ног после интенсивных физических нагрузок. Ваши ноги будут чувствовать себя расслабленными и комфортными даже после долгого дня.
Регулируемый ремешок: Матовый ремешок с закругленными краями и мягкой пеноподкладкой гарантирует надежную посадку и дополнительное удобство. Благодаря возможности регулировки, вы можете настроить шлепанцы точно по размеру вашей стопы.
Повышенная устойчивость: Увеличенные боковые стенки и высота модели обеспечивают дополнительную стабильность и комфорт, снижая риск травм и обеспечивая уверенную походку.
Прочная подошва: Подошва из легкого и прочного EVA-материала с рельефным рисунком гарантирует отличное сцепление с поверхностью, что особенно важно при ходьбе на различных типах покрытий.
Under Armour Ignite Pro 8 — это не просто шлепанцы, а ваш надежный спутник для восстановления и отдыха, который заботится о ваших ногах на каждом шагу.
Ключевые особенности:
Пена с эффектом памяти для максимального комфорта
Регулируемый ремешок с мягкой подкладкой
Улучшенная амортизация и стабильность
Прочная подошва с противоскользящим рисунком</t>
  </si>
  <si>
    <t>UA Ignite Pro 8 SL</t>
  </si>
  <si>
    <t>6000337-001</t>
  </si>
  <si>
    <t>Удобные шлепанцы от Under Armour подойдут как для расслабленного отдыха на пляжа, так и для тренировок в бассейне.
НАДЕЖНАЯ ФИКСАЦИЯ
Регулируемый ремешок с застежкой-липучкой позволяет надежно зафиксировать обувь.
КОМФОРТ
Текстурированная стелька из пеноматериала с эффектом памяти не только приятна на ощупь, но и подстраивается под форму стопы.
АМОРТИЗАЦИЯ
Подошва из ЭВА отвечает за улучшенную амортизацию, чтобы ноги меньше уставали.</t>
  </si>
  <si>
    <t>UA ARMR Slide</t>
  </si>
  <si>
    <t>6007527-001</t>
  </si>
  <si>
    <t>Каждому спортсмену нужны шлёпанцы для раздевалки — поэтому мы сделали лучшие. Удобные и долговечные.
• Формованный синтетический ремешок с мягкой поролоновой подкладкой для дополнительного комфорта
• Контурная стелька из ПУ обеспечивает комфорт и износостойкость</t>
  </si>
  <si>
    <t>6007527-003</t>
  </si>
  <si>
    <t>верх: пластик, стелька: отсутствует; подошва: полимер</t>
  </si>
  <si>
    <t>6007527-011</t>
  </si>
  <si>
    <t>UA W ARMR Slide</t>
  </si>
  <si>
    <t>6007532-001</t>
  </si>
  <si>
    <t>Каждому спортсмену нужны шлёпанцы для раздевалки — поэтому мы создали лучшие. Удобные и долговечные.
Формованный синтетический ремешок с мягкой поролоновой подкладкой для дополнительного комфорта
Анатомическая стелька из полиуретана обеспечивает удобство и износостойкость</t>
  </si>
  <si>
    <t>6007532-603</t>
  </si>
  <si>
    <t>UA W ARMR Shower Slide</t>
  </si>
  <si>
    <t>6007533-001</t>
  </si>
  <si>
    <t>Эти шлепанцы были созданы специально для раздевалки, с подошвой, разработанной для обеспечения сцепления даже при влажных условиях.
Детали:
Цельнолитая подошва из ЭВА легкая и чрезвычайно удобная.
Текстурированная подошва обеспечивает улучшенное сцепление на мокрой поверхности.</t>
  </si>
  <si>
    <t>6007533-100</t>
  </si>
  <si>
    <t>6007533-647</t>
  </si>
  <si>
    <t>6007536-100</t>
  </si>
  <si>
    <t>UA G ARMR Slide</t>
  </si>
  <si>
    <t>6007538-600</t>
  </si>
  <si>
    <t>UA B Challenger Tracksuit</t>
  </si>
  <si>
    <t>6004082-410</t>
  </si>
  <si>
    <t>Спортивный костюм</t>
  </si>
  <si>
    <t>Спортивные костюмы</t>
  </si>
  <si>
    <t>Коллекция UA Challenger включает в себя все необходимое для футбола. Этот спортивный костюм создан, чтобы согреть вас и подготовить к любым испытаниям на поле. Текстурированный трикотаж легкий, прочный и дышащий. Материал отводит пот и очень быстро сохнет. Эластичный пояс с внутренним шнурком. Открытые карманы. Застежки-молнии на щиколотках.</t>
  </si>
  <si>
    <t>UA Knit Track Suit</t>
  </si>
  <si>
    <t>1357139-408</t>
  </si>
  <si>
    <t>Гладкий трикотажный материал с мягким внутренним слоем для комфорта и тепла. Материал отводит излишнюю влагу и очень быстро сохнет. Верх: Открытые боковые карманы. Длинная молния. Низ:
Эластичный пояс с регулируемым внешним шнурком. Открытые боковые карманы.</t>
  </si>
  <si>
    <t>UA EMEA Track Suit</t>
  </si>
  <si>
    <t>1357139-001</t>
  </si>
  <si>
    <t>Спортивный костюм Knit Track Suit от Under Armour предназначен для тех, кто ценит комфорт и высокие технологии. Выполненный из 100% полиэстера, данный комплект обеспечивает отличное влагоотведение и быстро сохнет, оставаясь легким и комфортным в любой ситуации. Гладкий трикотажный материал и мягкая подкладка создают приятные ощущения комфорта и тепла, удерживая оптимальную температуру вашего тела.
- Материал эффективно отводит пот, позволяя вашей коже оставаться сухой во время интенсивных тренировок и физических нагрузок.
- Прилегающий крой обеспечивает удобную посадку без сдавливания, поддерживая свободу движений и комфорт.
- Эластичный пояс с внешним шнурком на брюках обеспечивает надежную фиксацию, позволяя свободно двигаться.
- Открытые карманы у брюк и олимпийки делают костюм функциональным, предоставляя удобные возможности для хранения необходимых мелочей.
- Универсальность костюма позволяет использовать его как для тренировок, так и для повседневного ношения, объединяя стиль и функциональность.</t>
  </si>
  <si>
    <t>1357139-025</t>
  </si>
  <si>
    <t>1357139-390</t>
  </si>
  <si>
    <t>1363290-001</t>
  </si>
  <si>
    <t>Мы взяли классический спортивный костюм и сделали его лучше, используя сверхмягкие материалы, которые также отводят пот, чтобы вы оставались сухими и легкими. Гладкая трикотажная ткань снаружи с матовой внутренней частью для мягкости и тепла. Материал отводит пот и очень быстро сохнет. КУРТКА: свободный крой, Открытые карманы для рук. БРЮКИ: Ребристый пояс с внешним шнурком. Открытые карманы для рук.  Приталенные с  эластичными манжетами.</t>
  </si>
  <si>
    <t>1363290-012</t>
  </si>
  <si>
    <t>UA Rival Knit Track Suit</t>
  </si>
  <si>
    <t>1363290-410</t>
  </si>
  <si>
    <t>Tricot Tracksuit</t>
  </si>
  <si>
    <t>1365147-001</t>
  </si>
  <si>
    <t>Это спортивный костюм, в котором вы действительно можете тренироваться. Он легкий, но теплый,тянется, чтобы вы могли двигаться. Гладкая трикотажная ткань снаружи и матовая внутренняя часть для мягкого комфорта и тепла. Материал отводит пот и очень быстро сохнет.</t>
  </si>
  <si>
    <t>1365147-425</t>
  </si>
  <si>
    <t>UA M Challenger Pro Trcksuit</t>
  </si>
  <si>
    <t>6004054-919</t>
  </si>
  <si>
    <t>Технология UA Storm отталкивает воду, не ухудшая воздухопроницаемость. Легкая эластичная ткань обеспечивает необычайный комфорт и долговечность. Материал отводит пот и очень быстро высыхает. 4-сторонний эластичный материал обеспечивает лучшую подвижность во всех направлениях. Куртка: капюшон с воротником-стойкой для дополнительной защиты с регулируемым шнурком. Брюки: эластичный пояс с внутренним шнурком. Открытые карманы для рук.</t>
  </si>
  <si>
    <t>6004082-001</t>
  </si>
  <si>
    <t>6004082-466</t>
  </si>
  <si>
    <t>1366060-390</t>
  </si>
  <si>
    <t>Термобелье</t>
  </si>
  <si>
    <t>UA RUSH  - это то снаряжение, которое вы носите, когда это наиболее важно - ваши самые сложные тренировки, ваши самые важные игры, ваши самые интенсивные тренировки. Оно отлично подходит, держит вас в сухости. UA RUSH  - это инфракрасная технология, которая отражает энергию вашего тела, чтобы помочь вам усерднее работать и быстрее восстанавливаться.</t>
  </si>
  <si>
    <t>UA CGI UTILITY CREW</t>
  </si>
  <si>
    <t>1366200-413</t>
  </si>
  <si>
    <t>Термобелье (верх)</t>
  </si>
  <si>
    <t>Начесанная микрофлисовая ткань мягкая с обеих сторон и обеспечивает превосходное тепло. В инфракрасной технологии ColdGear используется мягкое теплопроводящее покрытие, которое поглощает и сохраняет тепло вашего тела. Водонепроницаемые тканые накладки для дополнительной прочности и защиты. Регулируемый эластичный пояс по нижнему краю для надежной посадки.</t>
  </si>
  <si>
    <t>UA ColdGear Infrared. Теплопроводящий внутренний слой для поглощения и сохранения тепла тела.</t>
  </si>
  <si>
    <t>UA CG Armour Twist Lgs</t>
  </si>
  <si>
    <t>1379821-400</t>
  </si>
  <si>
    <t>Термобелье (кальсоны) Under Armour ColdGear Twist Leggings - базовый слой, который сохраняет тепло и сухость, не громоздкий и не сильно обтягивающий, чтобы Вы могли сосредоточиться на тренировочном процессе.
Состав: 88% полиэстер / 12% эластан; Вставки - 92% полиэстер/8% эластан
Двухслойная ткань с ультратеплой, матовой внутренней стороной и гладкой, быстросохнущей внешней стороной
Материал отводит влагу и быстро сохнет
Ластовица и панели из эластичной сетки обеспечивают стратегическую вентиляцию
4-Way Stretch Материал с 4-сторонней растяжкой лучше двигается в любом направлении, обеспечивая свободу движений
Эргономичный дизайн не позволяет швам натирать кожу
Открытый эластичный пояс с надписью
Вшитый карман Strength Pocket™ на правой стороне для удобного хранения</t>
  </si>
  <si>
    <t>UA ColdGear. Теплая и легкая экипировка для холодной погоды. Начесное трикотажное полотно удерживает тепло. Система контроля влаги отводит пот от кожи, позволяя ему быстрее испаряться.</t>
  </si>
  <si>
    <t>UA CG Armour Leggings</t>
  </si>
  <si>
    <t>1366075-001</t>
  </si>
  <si>
    <t>Двухслойная ткань с очень теплой матовой внутренней частью и гладкой, быстро сохнущей внешней стороной. Вставки и вставки по внутреннему шву из эластичной сетки для оптимальной вентиляции. Материал отводит пот и очень быстро сохнет. Технология защиты от запаха предотвращает рост вызывающих запах микробов. Эргономичный дизайн защищает от швов на участках с высокой степенью истирания. Карман Strength Pocket с правой стороны для удобного хранения.</t>
  </si>
  <si>
    <t>1366075-410</t>
  </si>
  <si>
    <t>Двухслойная ткань с очень теплой матовой внутренней частью и гладкой, быстро сохнущей внешней стороной. Вставки и вставки по внутреннему шву из эластичной сетки для оптимальной вентиляции. Материал отводит пот и очень быстро сохнет. Технология защиты от запаха предотвращает рост вызывающих запах микробов. Эргономичный дизайн защищает от швов на участках с высокой степенью истирания. Карман Strength Pocket  с правой стороны для удобного хранения.</t>
  </si>
  <si>
    <t>UA CG Armour Fitted Mock</t>
  </si>
  <si>
    <t>1366066-001</t>
  </si>
  <si>
    <t>Двухслойная ткань с очень теплой матовой внутренней частью и гладкой, быстро сохнущей внешней стороной. Вставки из эластичной сетки на спине и подмышках обеспечивают стратегическую вентиляцию без ущерба для тепла. Материал отводит пот и очень быстро сохнет. Технология защиты от запаха предотвращает рост вызывающих запах микробов. Эргономичный дизайн защищает от швов на участках с высокой степенью истирания</t>
  </si>
  <si>
    <t>1366066-100</t>
  </si>
  <si>
    <t>UA CG Armour Fitted Crew</t>
  </si>
  <si>
    <t>1366068-020</t>
  </si>
  <si>
    <t>UA CG Armour Fitted Crew - это идеальный выбор для тех, кто ищет максимальную защиту и комфорт во время тренировок или любых других активностей. 
Эта футболка изготовлена из инновационного материала с технологией HeatGear, что обеспечивает оптимальную температуру тела во время физических нагрузок и  позволяет сохранять максимальный комфорт и производительность:
• Двухслойная ткань с очень теплой матовой гладкой внутренней частью и быстросохнущей внешней стороной.
• Вставки из эластичной сетки на спине и подмышках обеспечивают стратегическую вентиляцию без ущерба для тепла. 
•  Материал футболки оснащен технологией Moisture Transport System, которая эффективно удаляет пот и обеспечивает быстрое высыхание, что позволяет сохранять свежесть и сухость в любых условиях. 
•  Технология защиты от запаха предотвращает рост вызывающих запах микробов. 
• Эргономичный дизайн защищает от швов на участках с высокой степенью истирания.
 Футболка UA CG Armour Fitted Crew имеет идеальную посадку, которая обеспечивает максимальную свободу движения и комфорт во время тренировок. Ее стильный и современный дизайн позволяет использовать ее не только как спортивную одежду, но и как элемент вашего повседневного гардероба. 
Будьте готовы к любым вызовам с UA CG Armour Fitted Crew. Она обеспечит вам максимальную защиту и комфорт в любых условиях, что позволит вам сосредоточиться на своих тренировках и достижении новых результатов. Наденьте ее и почувствуйте уверенность и комфорт в любой ситуации.</t>
  </si>
  <si>
    <t>87% полиэстер, 13% эластан</t>
  </si>
  <si>
    <t>UA Armour Fleece Twist QZ</t>
  </si>
  <si>
    <t>1373359-391</t>
  </si>
  <si>
    <t>Джемпер</t>
  </si>
  <si>
    <t>Толстовки и ветровки</t>
  </si>
  <si>
    <t>Толстовка Under Armour Fleece Twist QZ изготовлена из легкого, дышащего и слегка эластичного материала Armour Fleece®, который обеспечивает тепло, но при этом не громоздок и не стесняет движений.
Мягкий внутренний слой удерживает тепло, чтобы Вам было тепло и комфортно.
Armour Fleece® Новый флис - легкий, невероятно теплый и в нужной степени тянется</t>
  </si>
  <si>
    <t>M UA Run Anywhere Vest</t>
  </si>
  <si>
    <t>1356168-001</t>
  </si>
  <si>
    <t>Ветронепроницаемая тканая ткань рипстоп для максимальной прочности.
Эластичные боковые панели для дополнительной мобильности и комфорта.
Передние грузовые карманы, сетчатый нагрудный карман и надежный задний карман на молнии, чтобы вы могли спрятать все свои вещи.
Мягкая трикотажная нижняя полоса для повышенного комфорта.</t>
  </si>
  <si>
    <t>Основная часть: 100% полиэстер Боковые детали: 84 % полиэстер/16 % эластан</t>
  </si>
  <si>
    <t>PJT ROCK ICON FLEECE FZ</t>
  </si>
  <si>
    <t>1389914-989</t>
  </si>
  <si>
    <t>Толстовка</t>
  </si>
  <si>
    <t>Комплект Project Rock разработан таким образом, чтобы помочь тебе находить свои пределы и преодолевать их. Все изделия этой коллекции лично одобрены Дуэйном Джонсоном — самым усердным спортсменом в зале. В ЛЮБОМ месте.
Ультрамягкий флисовый свитшот среднего веса из хлопковой смеси с начёсом внутри для дополнительного тепла.
Открытые карманы для рук.
Резинки на манжетах и по низу изделия.</t>
  </si>
  <si>
    <t>UA STRM CGI SHLD HD 2.0 JKT</t>
  </si>
  <si>
    <t>1371587-390</t>
  </si>
  <si>
    <t>Ветровка</t>
  </si>
  <si>
    <t>Инфракрасная технология ColdGear® удерживает тепло тела, не увеличивая при этом вес и объем, - это специальный мягкий принт на внутренней стороне, который дольше сохраняет тепло, поэтому вы можете тренироваться в сильный мороз.
Технология UA Storm отталкивает воду, не жертвуя воздухопроницаемостью.
Прочный, склеенный трехслойный материал Softshell имеет бесшумный внешний слой и превосходную эластичность.
Ветрозащитные материалы защитят вас от непогоды.
Подкладка ColdGear® Infrared использует мягкое термопроводящее покрытие, которое поглощает и сохраняет тепло вашего тела.
Растягивающийся в четырех направлениях материал лучше движется во всех направлениях.</t>
  </si>
  <si>
    <t>UA ColdGear Infrared. Теплопроводящий внутренний слой для поглощения и сохранения тепла тела.;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 4-Way Srtetch. Легкий материал повышенной потности и эластичности.; Softshell. Защищает от непогоды.</t>
  </si>
  <si>
    <t>UA AF Storm FZ Hoodie</t>
  </si>
  <si>
    <t>1379285-001</t>
  </si>
  <si>
    <t>Невероятно теплый легкий Armor Fleece® обеспечивает необходимую эластичность. Имея почти нулевой вес, технология UA Storm не пропускает воду. Благодаря этим двум технологиям вам больше никогда не придется тренироваться в помещении.
Технология Under Armour Storm.
Легкий, дышащий и эластичный Armor Fleece®.
Мягкая внутренняя сторона.
Боковые карманы.</t>
  </si>
  <si>
    <t>UA Armour Fleece Twist HD</t>
  </si>
  <si>
    <t>1373354-400</t>
  </si>
  <si>
    <t>Толстовка-худи Under Armour Fleece Twist Hd изготовлена из легкого, дышащего и слегка эластичного материала Armour Fleece®, который обеспечивает тепло, но при этом не громоздок и не стесняет движений.
Мягкий внутренний слой удерживает тепло, чтобы Вам было тепло и комфортно.
Armour Fleece® Новый флис - легкий, невероятно теплый и в нужной степени тянется
Капюшон с регулировочным шнурком
Передний карман-кенгуру</t>
  </si>
  <si>
    <t>UA Icon Fleece FZ Hood</t>
  </si>
  <si>
    <t>1373881-452</t>
  </si>
  <si>
    <t>Мужская толстовка из очень мягкого хлопкового флиса обеспечивает комфорт во время носки.Чрезвычайно мягкий хлопковый флис средней плотности с начесом внутри для большего тепла.Открытые карманы для рук.Ребристые манжеты и нижний край.Вышитый логотип.</t>
  </si>
  <si>
    <t>UA Unstoppable Airvent Jkt</t>
  </si>
  <si>
    <t>1383029-025</t>
  </si>
  <si>
    <t>Мужская ветровка Under Armour Unstoppable Airvent Jkt – это воплощение стиля и технологий, предназначенное для активных мужчин, стремящихся к максимальному комфорту и производительности в своих спортивных достижениях. Благодаря передовым материалам и инновационным решениям, эта ветровка обеспечивает исключительную защиту от ветра и отличную вентиляцию, делая её идеальным выбором для тренировок и повседневного использования.
Ветровка выполнена из легкого, дышащего материала, который эффективно отводит влагу и поддерживает оптимальный температурный баланс даже при интенсивной активности. Встроенные вентиляционные панели и сетчатые вставки улучшают циркуляцию воздуха, предотвращая перегрев и поддерживая свежесть в течение всего дня.
Эргономичный крой и эластичные вставки обеспечивают полную свободу движений, а регулируемые элементы, такие как капюшон и манжеты, позволяют адаптировать посадку для максимального комфорта и защиты в различных погодных условиях. Карманы на молнии обеспечивают надежное хранение ваших ценных мелочей, таких как телефон, ключи или кошелек, обеспечивая удобство и практичность.
Стильный дизайн ветровки с лаконичными линиями и выразительным логотипом Under Armour добавляет современности и уверенности вашему образу. Мужская ветровка Under Armour Unstoppable Airvent Jkt – это ваш надежный спутник в любых приключениях, предлагающий оптимальное сочетание функциональности, комфорта и стиля.</t>
  </si>
  <si>
    <t>96% полиэстер; 4% эластан</t>
  </si>
  <si>
    <t>1373354-410</t>
  </si>
  <si>
    <t>UA ESSENTIAL SWACKET</t>
  </si>
  <si>
    <t>1378824-390</t>
  </si>
  <si>
    <t>Ветровка Under Armour Essential Swacket  похожа на толстовку, но, благодаря ветрозащитной ткани и накладкам для дополнительной защиты, работает как куртка, помогая Вам оставаться в тепле, сухости и комфорте, куда бы вы ни отправились.
Состав: 100% полиэстер
Технология UA Storm отталкивает воду без ущерба для воздухопроницаемости
Ветронепроницаемая конструкция для легкой защиты
Благодаря ультрамягкой ткани Swacket ветровка похожа на толстовку, но работает, как куртка, защищая от холода, ветра и влаги
Тканые накладки обеспечивают защиту и удерживают тепло
Большой трехпанельный капюшон регулируется шнуром
Боковые карманы на молнии
Эластичная окантовка на манжетах и задней нижней части подола
Водоотталкивающая обработка без фтора</t>
  </si>
  <si>
    <t>UA Armour Fleece FZ Hoodie</t>
  </si>
  <si>
    <t>1373357-400</t>
  </si>
  <si>
    <t>UA Fleece FZ Hoodie - это незаменимый элемент гардероба для тех, кто ценит комфорт и универсальность. Изготовленная из мягкого и теплого флиса, эта толстовка обеспечивает комфортную температуру в любых условиях. Благодаря своему прекрасному качеству и простому дизайну она станет любимым элементом вашей повседневной одежды. Толстовка оснащена полным молнией, что делает ее удобной при надевании и снятии. Качество изготовления также гарантирует долгий срок службы и долговечность продукта. Универсальная цветовая гамма позволяет легко сочетать эту толстовку с любой другой одеждой. Она выполнена с применением технологии UA Storm, которая защищает от дождя и снега, делая эту толстовку идеальным выбором для любого сезона. Имеет регулируемый капюшон и два кармана на молнии, что делает ее удобной для повседневного использования или занятий спортом. Вы будете чувствовать себя комфортно и уверенно в этой толстовке!</t>
  </si>
  <si>
    <t>UA Icon Heavy Rib Crew</t>
  </si>
  <si>
    <t>6003939-390</t>
  </si>
  <si>
    <t>UA Icon Fleece — чистый, объёмный крой, который одинаково уместен как в спортзале, так и в повседневной жизни. Эта утеплённая модель с ребристыми вставками — идеальный выбор для самых холодных дней: невероятно тёплая, уютная и при этом стильная.
🔹 Исключительно мягкий плотный футер из хлопкового смесового полотна с начёсом изнутри — для максимального удержания тепла и ощущения мягкости
🔹 Ребристые вставки по бокам, а также ребристый воротник, манжеты и нижний край — обеспечивают плотную посадку, улучшают терморегуляцию и добавляют структурированности силуэту
🔹 Заниженная линия плеча — создаёт свободный, расслабленный oversized-крой, не стесняющий движений
Тепло. Защита. Уверенность.
Когда на улице холод — вы остаётесь в своей зоне комфорта.</t>
  </si>
  <si>
    <t>PJT RCK HWT CREW TOOLS</t>
  </si>
  <si>
    <t>1386444-707</t>
  </si>
  <si>
    <t>Женское худи из ограниченной коллекции Project Rock, выполненное из мягкого футера с добавлением хлопка — для невероятного комфорта в течение всего дня.
Футер с хлопковой примесью — исключительно мягкий и приятный к телу, при этом сохраняет классический спортивный стиль.
Ребристый воротник, манжеты и нижний край обеспечивают удобную посадку и сохраняют форму изделия даже при активном использовании.
Сила. Уверенность. Комфорт.
Project Rock. В любой комнате. В любой день.</t>
  </si>
  <si>
    <t>UA Icon Fleece HD Taping</t>
  </si>
  <si>
    <t>1389356-390</t>
  </si>
  <si>
    <t>Under Armour Men's UA Icon Fleece HD Taping предлагает комфорт и стиль для повседневной носки, обеспечивая тепло и мягкость. Изготовленное из 80% хлопка и 20% полиэстера, это худи обладает уникальными характеристиками, делающими его незаменимым элементом гардероба.Ультрамягкий флис средней плотности обеспечивает исключительный комфорт и тепло, идеально подходящее для холодной погоды.
- Матовая внутренняя поверхность добавляет дополнительный слой тепла, сохраняя уют через весь день.
- Передний карман-кенгуру практичен и удобен для хранения мелочей или согревания рук.
- Ребристые манжеты и нижний край обеспечивают плотную посадку и защищают от проникновения ветра.
- Фирменные детали из тесьмы придают уникальный стиль и подчеркивают премиальное качество изделия.
- Многофункциональность делает это худи отличным выбором для повседневной носки, будь то на прогулке или в городской среде.</t>
  </si>
  <si>
    <t>UA Icon Fleece Hoodie</t>
  </si>
  <si>
    <t>1373880-402</t>
  </si>
  <si>
    <t>Худи Under Armour  современного кроя. Разминка заключается не только в том, чтобы чувствовать себя комфортно перед большой игрой (хотя этот флис, несомненно, один из самых удобных, которые вы когда-либо чувствовали), это значит, что вы находитесь в правильном свободном пространстве, сосредоточены и держите свое тело готовым.
Ультрамягкий флис средней плотности из смесового хлопка с начесом внутри для дополнительного тепла. Передний карман-кенгуру. Ребристые манжеты и нижний край</t>
  </si>
  <si>
    <t>PJT RCK BRHMA BULL FLEECE HD</t>
  </si>
  <si>
    <t>1379027-722</t>
  </si>
  <si>
    <t>Футер с добавлением хлопка — очень мягкий и комфортный, при этом обладает классическим спортивным внешним видом. Открытые карманы для рук. Ребристые манжеты и нижний край. Заниженная линия плеча.</t>
  </si>
  <si>
    <t>UA Armour Fleece FZ Hoodie-NVY</t>
  </si>
  <si>
    <t>1373357-410</t>
  </si>
  <si>
    <t>Толстовка Under Armour Men Armour Fleece Fz Hoodie — это идеальный выбор для тех, кто ценит универсальность и комфорт в повседневной жизни. Изготовленная из 100% полиэстера, она предлагает тепло и защиту благодаря технологии UA Storm, которая предотвращает попадание влаги. Лаконичный дизайн делает ее превосходным дополнением к любому гардеробу. Молния по всей длине обеспечивает удобство надевания, а регулируемый капюшон защищает от непогоды. Встроенные карманы на молнии добавляют практичности, гарантируя комфорт в любой ситуации.
- Armour Fleece отличатся мягкостью и легкостью, обеспечивая комфорт и тепло в любой среде, делая толстовку Under Armour Men Armour Fleece Fz Hoodie надежным спутником в прохладные дни.
- Технология UA Storm обеспечивает отличную защиту от дождя и снега, поддерживая комфорт даже в неблагоприятных погодных условиях.
- Полная длина молнии позволяет легко регулировать тепловой комфорт и упрощает процесс надевания, делая изделие функциональным выбором на каждый день.
- Регулируемый капюшон и два кармана на молнии обеспечивают дополнительные возможности для защиты и хранения необходимых мелочей, повышая практичность изделия.
- Деликатный уход и машинная стирка при 30 градусах сохранят первоначальный вид и качество, обеспечивая долговечность и износостойкость толстовки.</t>
  </si>
  <si>
    <t>UA Rush All Purpose FZ HD</t>
  </si>
  <si>
    <t>1367770-626</t>
  </si>
  <si>
    <t>Ткань с минеральными добавками забирает энергию, которую вы уже выделяете, и отражает ее обратно в ваши мышцы, поэтому они меньше устают и быстрее восстанавливаются. UA RUSH - это инфракрасная технология, которая отражает энергию вашего тела, чтобы помочь ты работаешь усерднее и быстрее восстанавливаешься. Ткань с ромбовидной текстурой и мягкая матовая внутренняя часть для непревзойденного тепла и комфорта. Сетчатые боковые панели ColdGear и вставки на рукавах обеспечивают воздухопроницаемость там, где это необходимо, без ущерба для тепла. Внешняя эластичная регулировка на капюшоне. Боковые молнии для регулируемой индивидуальной посадки. Надежные карманы на молнии для рук.</t>
  </si>
  <si>
    <t>Основной материал: 78% полиэстер,22% эластрел</t>
  </si>
  <si>
    <t>UA Icon Wvn Track Jkt</t>
  </si>
  <si>
    <t>6003978-001</t>
  </si>
  <si>
    <t>Under Armour UA Icon Woven Track Jacket- легкая и прочная мужская ветровка.
Ветровка Under Armour Icon Woven Track Jacket — это универсальная модель, разработанная, чтобы ваши мышцы оставались готовыми к тренировке в любую погоду. Она сочетает в себе легкость, воздухопроницаемость и водоотталкивающие свойства, что делает ее идеальной для разминки, заминки или активного отдыха. 
Идеально подходит для занятий спортом на открытом воздухе, бега, тренировок, а также для повседневного использования в прохладную и ветреную погоду. Специальная обработка UA Storm отталкивает воду без ущерба для воздухопроницаемости, сохраняя вас сухим.
Материал: Ткань с текстурой по всей поверхности легкая и прочная. Обеспечивает тепло без лишнего объема.
 Модель имеет свободный крой (Loose fit), не стесняющий движений.Надежные карманы для рук на молнии, эластичные манжеты и нижний край, а также двухсторонняя передняя молния.Материал: 100% нейлон. 
На ветровке присутствует печатный логотип Under Armour.</t>
  </si>
  <si>
    <t>UA Armour Fleece Hoodie</t>
  </si>
  <si>
    <t>1373353-025</t>
  </si>
  <si>
    <t>Худи Under Armour Men Fleece Hoodie — это идеальное сочетание легкости, тепла и комфорта в одном изделии. Это худи выполнено из инновационного материала Armour Fleece, который обеспечивает отличную воздухопроницаемость и эластичность. Базовый классический цвет придаёт свежий и современный вид этому элементу гардероба, делает его универсальным выбором для повседневного использования. Мягкий внутренний слой надежно сохраняет тепло, а капюшон с регулировкой обеспечивает дополнительную защиту от холода. 
- Усовершенствованный Armour Fleece гарантирует легкость, отличную воздухопроницаемость и эластичность, делая худи Under Armour Men Fleece Hoodie идеальным выбором для активных людей.
- Мягкий внутренний слой надежно сохраняет комфортное тепло, обеспечивая защиту в холодные дни.
- Капюшон с регулируемым шнурком добавляет дополнительный уровень защиты, поддерживая тепло и комфорт при любой погоде.
- Функциональный карман-кенгуру пригоден для хранения мелочей и согрева рук, поддерживая удобство использования в любых условиях.
- Деликатная машинная стирка при 30 градусах поддерживает долговечность и сохраняет цвет, обеспечивая легкость ухода за изделием.</t>
  </si>
  <si>
    <t>Woven FZ Jacket</t>
  </si>
  <si>
    <t>1371095-003</t>
  </si>
  <si>
    <t>Woven FZ Jacket - это надежная и стильная ветровка, которая станет вашим надежным спутником во время любой активности на открытом воздухе. Она изготовлена из высококачественного материала, который обеспечивает максимальную защиту от ветра и дождя, при этом сохраняя комфортную температуру внутри. Удобный спортивный крой обеспечит максимальную свободу движений, а модный дизайн дополнит ваш образ и сделает его более стильным. Незаменимая вещь в гардеробе для тех, кто любит активный отдых и не желает зависеть от погодных условий. Не отказывайте себе в удобстве и стиле с Woven FZ Jacket!</t>
  </si>
  <si>
    <t>PJT Q2 PAYOFF SL FLCE HD</t>
  </si>
  <si>
    <t>1383302-686</t>
  </si>
  <si>
    <t>Толстовка без рукавов</t>
  </si>
  <si>
    <t>Тренировочное снаряжение Project Rock создано, чтобы помочь вам найти границы, а затем преодолеть их. Все в этой коллекции было лично одобрено Дуэйном Джонсоном</t>
  </si>
  <si>
    <t>UA Rival Fleece Logo HD</t>
  </si>
  <si>
    <t>1379758-400</t>
  </si>
  <si>
    <t>Это снаряжение согреет вас и позволит быть готовым практически ко всему, что вы делаете: оно легкое, удобное и очень мягкое внутри.Функции: Ультрамягкий флис из хлопковой смеси с начесом внутри для дополнительного тепла. Передний карман-кенгуру. Ребристые манжеты и нижний край. Свободная посадка</t>
  </si>
  <si>
    <t>UA Icon Rev Terry Crew</t>
  </si>
  <si>
    <t>6003942-390</t>
  </si>
  <si>
    <t>Under Armour UA Icon Rev Terry Crew: Ультрамягкий и универсальный мужской джемпер (свитшоту без капюшона).
Этот джемпер из коллекции Icon Rev Terry обладает мягкостью флиса, но при этом не такой плотный и жаркий, как обычный флис с начесом. Это делает его идеальным вариантом для прохладных летних вечеров или утренних тренировок. 
Идеально подходит для повседневного ношения в прохладную погоду, отдыха дома, легких тренировок, разминки или заминки.
Махровая ткань Cotton Terry (100% хлопок) очень мягкая и комфортная, с приятной внешней отделкой и гладкой внутренней поверхностью.
Материал обеспечивает высокий уровень комфорта и быстро сохнет. Модель имеет свободный крой (Loose fit), который гарантирует полную свободу движений. Ребристые воротник, манжеты и нижний край для надежной фиксации. Дизайн с заниженной линией плеча (drop hem shoulder).
Материал: 100% хлопок. На  джемпере присутствует вышитый логотип Under Armour.</t>
  </si>
  <si>
    <t>100% хлопок</t>
  </si>
  <si>
    <t>UA B Rival Wvn Jacket</t>
  </si>
  <si>
    <t>1390154-390</t>
  </si>
  <si>
    <t>Технология UA Storm отталкивает воду, не снижая воздухопроницаемости.
Гладкая ткань лёгкая и очень прочная.
Подкладка из сетки для лучшей вентиляции.
Карманы на молнии.
Эластичные манжеты.
Водоотталкивающая пропитка без фтора.
• Технология UA Storm отталкивает воду, не снижая воздухопроницаемости
• Гладкая ткань лёгкая и очень прочная
• Подкладка из сетки для лучшей вентиляции
• Карманы на молнии
• Эластичные манжеты
• Водоотталкивающая пропитка без фтора</t>
  </si>
  <si>
    <t>UA RIVAL LW 1/4 ZIP HOODIE</t>
  </si>
  <si>
    <t>6009316-001</t>
  </si>
  <si>
    <t>Этот легкий French terry обладает мягкой текстурой флиса, но без лишнего тепла, характерного для начесанного флиса. Это делает её идеальной для прохладных летних вечеров или утренних тренировок.
Особенности:
Легкая французская махра с гладкой внешней стороной и теплой, мягкой внутренней
Материал отводит влагу и очень быстро сохнет
Передний карман-кенгуру
Застежка-молния на ¼ длины обеспечивает удобство при многослойной носке; капюшон и воротник-стойка обеспечивают дополнительную защиту
Манжеты и нижний край с резинкой</t>
  </si>
  <si>
    <t>6009316-011</t>
  </si>
  <si>
    <t>UA Rival Terry AOP FZ Q1</t>
  </si>
  <si>
    <t>1390139-025</t>
  </si>
  <si>
    <t>Эта толстовка — словно утренний свет, который согревает, не слепит. Она создана для тех, кто ищет баланс между комфортом и стилем, кто ценит каждую деталь своей повседневной жизни. Легкий французский трикотаж с гладким внешним слоем и мягким начесом внутри — это идеальное сочетание практичности и роскоши. Внешне она выглядит безупречно, а внутри дарит ощущение теплых объятий. Каждое прикосновение к ткани напоминает о том, как приятно быть окруженной заботой.
Материал, который отводит пот и быстро сохнет, делает эту толстовку незаменимой для активного образа жизни. Будь то тренировка в зале или прогулка под переменчивым небом, она сохраняет ваше тело сухим и комфортным. Это технология, которая работает так тихо, что вы даже не замечаете ее — просто чувствуете себя легко и уверенно.
Открытые карманы для рук — это маленький, но важный штрих. Они достаточно глубокие, чтобы спрятать ваши ладони от прохладного ветра, и достаточно удобные, чтобы хранить ключи или телефон. Эти карманы — место, где можно найти тепло и уют, когда мир вокруг становится чуть холоднее.
Формованный подол добавляет изделию завершенности и элегантности. Он мягко облегает фигуру, создавая аккуратный силуэт, который подчеркивает вашу индивидуальность. Этот элемент дизайна говорит о внимании к мелочам, которые делают вещь особенной.
С первого взгляда эта толстовка кажется простой, но именно в этой простоте кроется ее уникальность. Минималистичный дизайн украшен изысканным принтом, который добавляет характер и стиль. Это выбор тех, кто предпочитает говорить своим вкусом, а не яркими деталями.
Under Armour Rival Terry Printed — это больше, чем одежда. Это мягкость, которая согревает. Это свобода, которая позволяет вам двигаться без ограничений. Это стиль, который говорит сам за себя. Наденьте ее, и вы почувствуете, что значит быть одновременно уютной и уверенной.
Это толстовка, которая станет вашим любимым предметом гардероба. Она для тех дней, когда хочется быть собой — легко, свободно и красиво.</t>
  </si>
  <si>
    <t>UA DNA HOODIE</t>
  </si>
  <si>
    <t>1366438-100</t>
  </si>
  <si>
    <t>Двухслойный флис с сетчатой ​​текстурой и начесом на внутренней стороне очень теплый и удобный. Ребристые манжеты, боковые стороны, вставки на рукавах и капюшоне обеспечивают дополнительную эластичность и подвижность. Вентиляционные отверстия подмышками для дополнительной воздухопроницаемости. Капюшон с эластичной резинкой для индивидуальной подгонки. Передний карман-кенгуру с надежным невидимым карманом на молнии.</t>
  </si>
  <si>
    <t>1379758-600</t>
  </si>
  <si>
    <t>1379758-025</t>
  </si>
  <si>
    <t>Мужская худи Under Armour Rival Fleece Logo HD сочетает в себе стиль и функциональность, прекрасно подходя для тренировок и активного отдыха. Легкая и удобная модель согреет вас и обеспечит максимальный комфорт в любых условиях. Контрастный логотип добавляет стильный акцент вашему образу. Изготовлена из 80% хлопка и 20% полиэстера, модель сочетает в себе долговечность и мягкость, сохраняя свой внешний вид даже после частых стирок.
- Ультрамягкий флис из хлопковой смеси с внутренней наческой обеспечивает дополнительное тепло и комфорт, делая её идеальной для прохладной погоды.
- Передний карман-кенгуру предлагает удобное место для хранения мелочей и согрева ваших рук.
- Ребристые манжеты и нижний край гарантируют плотную посадку, защищая от ветра и создавая аккуратный силуэт.
- Свободная посадка предоставляет комфорт для свободы движений, что особенно актуально для активного образа жизни.
- Стильный контрастный логотип привлекает внимание, подчёркивая ваш спортивный стиль и приверженность бренду.</t>
  </si>
  <si>
    <t>UA Essential Fleece Hoodie</t>
  </si>
  <si>
    <t>1373880-410</t>
  </si>
  <si>
    <t>Under Armour UA Essential Fleece Hoodie - это идеальное решение для тех, кто ищет удобство, тепло и стиль в одном изделии. Изготовленный из мягкого флиса, он обеспечивает комфортное ощущение на коже в любых условиях. Худи имеет удобную посадку, а также приталенный крой, который делает его стильным и современным. Большой карман на передней части худи с молнией позволяет хранить вещи на месте во время движения. Under Armour UA Essential Fleece Hoodie также имеет эластичные манжеты и нижний край, которые обеспечивают тепло и комфорт в прохладную погоду. Капюшон с регулируемыми шнурами позволяет создать индивидуальную посадку, защищая вас от непогоды. Этот худи является идеальным выбором для повседневной жизни, занятий спортом и отдыха. Обладая стильным дизайном и удобством, он станет незаменимой частью вашего гардероба. Не упустите возможность добавить Under Armour UA Essential Fleece Hoodie в свой гардероб и наслаждайтесь комфортом и стилем каждый день.</t>
  </si>
  <si>
    <t>Rival Fleece Logo Hoodie</t>
  </si>
  <si>
    <t>1356318-558</t>
  </si>
  <si>
    <t>Худи Under Armour Rival Fleece Logo Hoodie. Толстовка женская UA. Чрезвычайно мягкая флисовая ткань средней плотности с высоким содержанием хлопка и начесанная внутренняя часть для большего тепла. Материал быстро сохнет, отводит пот, а благодаря своей гибкости вы всегда будете чувствовать себя хорошо.Капюшон со скрещенным воротником и кулиской. Передний карман кенгуру. Ребристые манжеты и нижний край.</t>
  </si>
  <si>
    <t>B Icon Flc HD Taping</t>
  </si>
  <si>
    <t>1390293-001</t>
  </si>
  <si>
    <t>Худи UA Icon Fleece напоминает вашу любимую флисовую одежду старой школы, а ее чистый, безразмерный крой смотрится так же хорошо с экипировкой для спортзала, как и с уличной одеждой. Ультрамягкий хлопковый флис средней плотности с начесом внутри для дополнительного тепла. Передний карман-кенгуру. Ребристые манжеты и нижний подол.</t>
  </si>
  <si>
    <t>UA Storm SweaterFleece QZ</t>
  </si>
  <si>
    <t>1373674-426</t>
  </si>
  <si>
    <t>Джемпер UA Storm SweaterFleece – это универсальный элемент одежды от известного бренда Under Armour, который сочетает в себе стиль и функциональность для обеспечения комфорта и тепла в прохладную погоду. Эта верхняя одежда идеально подходит для активных людей, которые не хотят отказываться от активного образа жизни даже при ненастной погоде.</t>
  </si>
  <si>
    <t>Rival Fleece HB Hoodie</t>
  </si>
  <si>
    <t>1356317-690</t>
  </si>
  <si>
    <t>Это ваша новая любимая худи практически для всего, что вы делаете - она легкая, удобная и очень мягкая внутри. Ультрамягкий флис из хлопка средней плотности с начесом на внутренней стороне для дополнительного тепла. Большой капюшон с регулировкой на шнурке. Передний карман-кенгуру. Ребристые манжеты и нижний край.</t>
  </si>
  <si>
    <t>1356318-690</t>
  </si>
  <si>
    <t>UA Rival Terry LC FZ</t>
  </si>
  <si>
    <t>1370409-390</t>
  </si>
  <si>
    <t>Откройте для себя новый уровень комфорта с толстовкой Under Armour Rival Terry FullZip. Изготовленная из премиального французского терри, она обеспечивает несравненное тепло и мягкость, оставаясь при этом легкой и дышащей. Стильная и универсальная, эта толстовка оснащена полной молнией для удобства, регулируемым капюшоном для дополнительной защиты и карманами на молнии для безопасности ваших вещей. Манжеты и подол на резинке обеспечивают идеальную посадку. Тепло, стиль и функциональность в одном — Rival Terry FullZip станет вашим незаменимым спутником в прохладные дни.</t>
  </si>
  <si>
    <t>PJT RCK ICON FLC HDY</t>
  </si>
  <si>
    <t>1386902-707</t>
  </si>
  <si>
    <t>Худи Under Armour PJT RCK ICON FLC HDY обеспечивает максимальный комфорт и стиль, являясь отличным дополнением к любому гардеробу. Изготовленное из мягкой и прочной смеси хлопка и полиэстера, оно гарантирует ощущение уюта и тепла в прохладную погоду. Свободный крой позволяет легко двигаться, а длинные рукава обеспечивают дополнительное покрытие и защиту от ветра. Это худи идеально подходит как для тренировок, так и для повседневного отдыха. Универсальный дизайн с капюшоном позволяет легко сочетать его с различными стилями одежды, от спортивной до casual. Наслаждайтесь комфортом и свободой в каждый момент, будь то на прогулке или в тренажерном зале.</t>
  </si>
  <si>
    <t>UA STRM SESSION RUN HZ JKT</t>
  </si>
  <si>
    <t>1378495-400</t>
  </si>
  <si>
    <t>Встречайте UA STRM Session Run HZ Jacket – вашего нового неотъемлемого партнера для бега, который не знает преград и сделан для движения. Этот феноменальный элемент гардероба от Under Armour – вершина мастерства и инноваций, предназначен для амбициозных спортсменов, которые стремятся к бескомпромиссной функциональности и выразительному стилю.
Водонепроницаемость и дышащие качества: При разработке данной ветровки компания Under Armour использовала запатентованную технологию UA Storm, предоставив вам одежду, которая не пропускает дождь и сохраняет сухость, одновременно отводя излишки тепла и влаги от тела во время интенсивных тренировок.
Легкость и износостойкость: Сделана из особо легких, но прочных материалов, UA STRM Session Run HZ Jacket не утяжеляет вас, позволяя двигаться быстро и свободно.
Адаптивные возможности: Благодаря половинчатому замку 'half-zip', ветровка предлагает регулируемую вентиляцию и облегчает её надевание и снятие. Это идеально подходит для переменчивой погоды, когда вам может потребоваться быстро адаптироваться к изменениям температуры.
Современный дизайн: Динамичный и современный вид UA STRM Session Run HZ Jacket сочетает в себе эргономику и модные тенденции, делая вас заметным и стильным на беговой дорожке или улице.
Безопасность и видимость: Продуманные отражательные элементы обеспечивают видимость в слабоосвещенных условиях, позволяя вам безопасно тренироваться утром рано или вечером поздно.
Функциональные особенности: Карманы на молнии для безопасного хранения ваших вещей и мягкий высокий воротник для дополнительной защиты и комфорта.
UA STRM Session Run HZ Jacket – это сочетание непревзойденной защиты и стиля для серьезных бегунов, которым необходимо профессиональное снаряжение для достижения высот спортивного мастерства. С этой ветровкой вы обретете надежного союзника в вашем стремлении к совершенству, ведь она превосходно справляется с любыми погодными условиями, позволяя вам сосредоточиться только на беге. Где бы вы ни были – ваш выбор это непревзойденное сочетание комфорта и защиты. С UA STRM Session Run HZ Jacket ваш бег будет легким и приятным, независимо от погоды!</t>
  </si>
  <si>
    <t>QUALIFIER COLD HOODY</t>
  </si>
  <si>
    <t>1379306-400</t>
  </si>
  <si>
    <t>Встречайте худи UA Qualifier Cold Hoody – вашего верного спутника в мире бескомпромиссного комфорта и тепла от Under Armour, идеально подходящего для тех, кто не дает погоде стоять на пути к своим целям.
Интенсивное тепло без ограничений: Встроенная технология ColdGear поддерживает оптимальный баланс тепла и легкости, позволяя вам сосредоточиться на тренировках, а не на холоде.
Современный спортивный стиль: UA Qualifier Cold Hoody комбинирует классический образ худи с инновационными спортивными деталями, обеспечивая вам стильный вид как во время упражнений, так и вне спортзала.
Максимальная свобода движения: Гибкость и невероятная мягкость материала обеспечивают полную свободу движений, делая худи прекрасным выбором для разнообразных видов активности.
Влагоотводящие свойства: Используемые ткани с технологией влагоотвода от Under Armour гарантируют, что влага быстро отводится от тела, оставляя вас сухим и уверенным даже во время самых тяжелых сетов.
Капюшон для дополнительной защиты: Капюшон худи UA Qualifier Cold Hoody призван оберегать вас от ветра и непогоды, оставляя уши и голову в тепле и комфорте.
Практичность и функциональность: Фронтальный карман 'кенгуру' не только дополняет дизайн и дарит уют для рук, но и служит удобным местом для хранения ваших мелких предметов и гаджетов.
Прочность во времени: Высококачественные материалы и внимание к деталям в производстве дают вам уверенность, что худи UA Qualifier Cold Hoody станет вашим надежным товарищем на долгие годы.
Универсальность: Это худи идеально подходит для различных сценариев – от утренних пробежек до воскресных прогулок, от интенсивных тренировок до расслабляющего отдыха дома.
Примерьте UA Qualifier Cold Hoody и почувствуйте, как превосходный комфорт и стиль сливаются в одном изделии. Этот худи не просто дарит тепло – он вдохновляет вас преодолевать холод, сохраняя амбиции и настойчивость независимо от погодных условий. Покоряйте новые вершины в тренировках и повседневной жизни с худи UA Qualifier Cold Hoody – теплый и надежный выбор для атлета, ценящего удобство и функциональность.</t>
  </si>
  <si>
    <t>UA Rival Fleece Big Logo HD-GRY</t>
  </si>
  <si>
    <t>1357093-781</t>
  </si>
  <si>
    <t>Ультрамягкий флис средней плотности из смеси хлопка с шероховатой внутренней частью для дополнительного тепла и комфорта.
Регулируемый кроссовер-капюшон.
Передний карман-кенгуру.
Ребристые манжеты и нижний край.
Рукава реглан.</t>
  </si>
  <si>
    <t>1389914-400</t>
  </si>
  <si>
    <t>80% Хлопок, 20% Полиэстер</t>
  </si>
  <si>
    <t>UA Icon Fleece Crew Taping</t>
  </si>
  <si>
    <t>1389357-001</t>
  </si>
  <si>
    <t>Джемпер UA Icon Fleece Taping Crew  от  Under Armour  — идеальный выбор для занятий спортом и повседневной носки.
Изготовлен из чрезвычайно мягкой смеси  хлопка и полиэстера.
Флисовый начес изнутри.
Ребристые воротник, манжеты и нижний кра. 
Логотип бренда Under Armour спереди.
Рукава отделаны лентой с повторяющимся брендингом.</t>
  </si>
  <si>
    <t>1373354-012</t>
  </si>
  <si>
    <t>UA Tech Textured 1/2 Zip</t>
  </si>
  <si>
    <t>1382797-024</t>
  </si>
  <si>
    <t>UA Tech™ — это наша оригинальная, проверенная экипировка для тренировок: свободная, лёгкая и обеспечивающая охлаждение. Всё, что вам нужно.
Ткань UA Tech™ быстро сохнет, невероятно мягкая и обладает более естественной текстурой.
Материал отводит влагу и очень быстро высыхает.
Удобная застёвка-молния спереди на половину длины изделия облегчает многослойное ношение.</t>
  </si>
  <si>
    <t>1382797-690</t>
  </si>
  <si>
    <t>UA Rival Fleece Crew</t>
  </si>
  <si>
    <t>1357096-001</t>
  </si>
  <si>
    <t>Это ваш новый любимый флисовый свитшот с круглым вырезом практически для всего, что вы делаете - он легкий, удобный и сверхмягкий внутри. Ультрамягкий флис из хлопка средней плотности с начесом на внутренней стороне для дополнительного тепла. Ребристый воротник, манжеты и нижний край.</t>
  </si>
  <si>
    <t>UA Rival LW Hoodie</t>
  </si>
  <si>
    <t>6012335-338</t>
  </si>
  <si>
    <t>Эта легкая французская махровая ткань на ощупь напоминает флис, но не создает ощущения излишнего тепла, характерного для ворсистого флиса. Это делает ее идеальной для прохладных летних ночей или утренних тренировок.
Детали:
Легкий французский махровый трикотаж имеет гладкую внешнюю поверхность и тёплый, мягкий внутренний слой
Материал отводит пот и очень быстро сохнет
Открытые боковые карманы
Ребристые манжеты и нижний край
Спущенные плечи для свободной, непринужденной посадки</t>
  </si>
  <si>
    <t>UA Rival Terry Logo Crew</t>
  </si>
  <si>
    <t>1373384-112</t>
  </si>
  <si>
    <t>Свитшот Under Armour Ua Rival Terry Logo Crew. Очень мягкий флис из хлопка средней плотности с бархатным внутренним слоем для дополнительного тепла.Регулируемый капюшон.Карман-кенгуру. Дизайн рукавов с оборками. Нашивка с тканым логотипом.</t>
  </si>
  <si>
    <t>UA Armour Fleece 1/4 Zip</t>
  </si>
  <si>
    <t>1373358-001</t>
  </si>
  <si>
    <t>Джемпер Under Armour Men Armour Fleece 1/4 Zip — это стильное и функциональное решение для активных мужчин, ценящих комфорт и качество. Выполненный из 100% полиэстера, он обеспечивает отличную вентиляцию и контроль влажности, поддерживая комфорт даже в самых интенсивных условиях. Черный цвет и спортивный дизайн делают этот джемпер универсальным и пригодным для любого случая, будь то тренировки или повседневная носка. Молния на четверть длины добавляет удобства при надевании и регулировке теплового комфорта, а деликатный уход позволяет сохранить изделие в отличном состоянии.
- Легкий и прочный материал обеспечивает постоянную циркуляцию воздуха, сохраняя ощущение свежести в течение всего дня.
- Спортивный стиль и универсальный черный цвет дают возможность сочетать джемпер Under Armour Men Armour Fleece 1/4 Zip с любым гардеробом.
- Молния на 1/4 длины позволяет легко регулировать теплоизоляцию, делая джемпер идеальным для разных погодных условий.
- Материал эффективно отводит лишнюю влагу, способствуя поддержанию сухости и комфорта при активных занятиях.
- Простота ухода благодаря машинной стирке при 30 градусах гарантирует долговечность и сохранение качества изделия.
- Джемпер отлично подходит как для тренировок, так и для повседневного использования, предлагая баланс стиля и функциональности.</t>
  </si>
  <si>
    <t>1379758-477</t>
  </si>
  <si>
    <t>UA Tech Wordmark HZ</t>
  </si>
  <si>
    <t>6004979-001</t>
  </si>
  <si>
    <t>UA Tech™ — наша оригинальная универсальная экипировка для тренировок. Эта модель с половинной молнией имеет свободный крой, лёгкая, обеспечивает ощущение прохлады и дополнена удлинённой фигурной нижней кромкой для лучшей посадки и покрытия.
• Ткань UA Tech™ быстро сохнет, необычайно мягкая и обладает более естественной текстурой
• Материал эффективно отводит влагу и очень быстро сохнет
• Удлинённая половинная молния спереди обеспечивает удобство многослойности</t>
  </si>
  <si>
    <t>UA SPORTSTYLE GRAPHIC TK JT</t>
  </si>
  <si>
    <t>1361619-001</t>
  </si>
  <si>
    <t>Олимпийка</t>
  </si>
  <si>
    <t>Спортивная куртка, созданная для тренировок. Она легкая, но теплая, тянется, обеспечивая комфорт движения, и дышит при повышении температуры тела во время физических нагрузок. Гладкая трикотажная ткань снаружи и матовая внутренняя часть для большего комфорта и тепла. Материал отводит пот и очень быстро сохнет. Открытые карманы для рук.</t>
  </si>
  <si>
    <t>N/A. ; N/A.</t>
  </si>
  <si>
    <t>1373674-410</t>
  </si>
  <si>
    <t>UA Essential Flc Track Jkt</t>
  </si>
  <si>
    <t>1381035-012</t>
  </si>
  <si>
    <t>Эта практичная и удобная толстовка Under Armour Essential Flc Track Jkt отлично подойдет для разогрева перед тренировкой или для заслуженного отдыха после напряженной игры. В общем, куда бы вы ни пошли, эта толстовка подарит вам настоящее чувство комфорта.</t>
  </si>
  <si>
    <t>UA BCL Pro Storm Jkt</t>
  </si>
  <si>
    <t>6009542-001</t>
  </si>
  <si>
    <t>Если погода не позволяет вам бегать, наденьте водонепроницаемую куртку, которая при этом невероятно легкая и дышащая. Это значит, что вы можете бегать, не беспокоясь о прогнозе погоды.
Детали:
Технология UA Storm отталкивает воду, не жертвуя при этом воздухопроницаемостью.
Легкая эластичная ткань прочная, удобная и не сковывает движений.
Эластичный материал, растягивающийся в четырех направлениях, обеспечивает лучшую подвижность.
Надежные боковые карманы на молнии, а также внутренний карман для телефона.
Отделка по краям манжет, нижнего края и капюшона.
Используется водоотталкивающая обработка без фтора.</t>
  </si>
  <si>
    <t>91% полиэстер, 9% эластан</t>
  </si>
  <si>
    <t>1356318-626</t>
  </si>
  <si>
    <t>Толстовка женская UA. Чрезвычайно мягкая флисовая ткань средней плотности с высоким содержанием хлопка и начесанная внутренняя часть для большего тепла. Материал быстро сохнет, отводит пот, а благодаря своей гибкости вы всегда будете чувствовать себя хорошо.Капюшон со скрещенным воротником и кулиской. Передний карман "кенгуру". Ребристые манжеты и нижний край.</t>
  </si>
  <si>
    <t>UA Rival Fleece FZ Hoodie</t>
  </si>
  <si>
    <t>1357111-012</t>
  </si>
  <si>
    <t>Ультрамягкий флис из смесового хлопка средней плотности с начесом на внутренней стороне для дополнительного тепла. Открытые карманы для рук. Ребристые манжеты и нижний край.</t>
  </si>
  <si>
    <t>SMT</t>
  </si>
  <si>
    <t>46-48 удл</t>
  </si>
  <si>
    <t>UA SUMMIT KNIT FZ HD</t>
  </si>
  <si>
    <t>1370422-279</t>
  </si>
  <si>
    <t>Двухслойная ткань мягкая, эластичная и дышащая для превосходного комфорта и мобильности. Материал отводит пот и очень быстро сохнет. Конструкция 4-way stretch лучше растягивается во всех направлениях. Накладки для дополнительной прочности. Надежные карманы на молнии для рук.</t>
  </si>
  <si>
    <t>Perpetual Vest-BLK</t>
  </si>
  <si>
    <t>1320977-001</t>
  </si>
  <si>
    <t>Сверхлегкая тканая ткань обеспечивает непревзойденный комфорт и долговечность
Сочетание металлических и матовых поверхностей делает внешний вид еще лучше.
Конструкция 4-way stretch лучше тянется во всех направлениях.
Материал впитывает пот и очень быстро сохнет.
Встроенная задняя вентиляция.
Регулируемый капюшон.
Надежные карманы на молнии.
Закрытые эластичные боковые кромки для надежной посадки.</t>
  </si>
  <si>
    <t>Нейлон 100%</t>
  </si>
  <si>
    <t>UA Armour Fleece Graphic HD</t>
  </si>
  <si>
    <t>1379745-014</t>
  </si>
  <si>
    <t>Толстовка-худи Under Armour Fleece Hoodie изготовлена из легкого, дышащего и слегка эластичного материала Armour Fleece®, который обеспечивает тепло, но, при этом, не громоздок и не стесняет движений.
Мягкий внутренний слой удерживает тепло, чтобы Вам было тепло и комфортно.
Armour Fleece® Новый флис - легкий, невероятно теплый и в нужной степени тянется
Капюшон с регулировочным шнурком
Передний карман-кенгуру
Состав: 100% полиэстер</t>
  </si>
  <si>
    <t>Rival Terry FZ Hoodie</t>
  </si>
  <si>
    <t>1369853-872</t>
  </si>
  <si>
    <t>Особенности модели:
Сверхмягкая, легкая махровая ткань с начесом внутри для дополнительного тепла.
Материал устойчив к поту и очень быстро сохнет
Растягивающаяся в 4 направлениях ткань
Застежка: молния.
Капюшон с регулировкой на шнурке.
Фирменный логотип бренда на груди.
Карман-кенгуру с открытыми боковыми прорезями</t>
  </si>
  <si>
    <t>70% полиэстер 25% тенсел 5% эластан</t>
  </si>
  <si>
    <t>UA Rival Try Athlc Dep FZ HD</t>
  </si>
  <si>
    <t>1370355-279</t>
  </si>
  <si>
    <t>Материал French Terry имеет гладкий внешний слой и теплый, мягкий внутренний слой, а также обладает быстросохнущими свойствами. Under Armour — это удобная, практичная и технологичная одежда для тренировок. Бренд проектирует качественную экипировку для различных тренировок: интенсивные тренировки в зале, интервальный тренинг, бег, велопробег, даже танцы. Все технологии Under Armour инновационные и направлены на максимальный комфорт во время любых активностей.</t>
  </si>
  <si>
    <t>1373880-651</t>
  </si>
  <si>
    <t>UA Unstoppable Jacket</t>
  </si>
  <si>
    <t>1370494-390</t>
  </si>
  <si>
    <t>Технология UA Storm обладает воздухопроницаемостью и влагоотталкивающими свойствами, а технология 4-Way Srtetch анатомически повторяет форму тела и обеспечивает максимальный комфорт движения, Anti-Odor препятствует росту бактерий, которые вызывают неприятный запах. Боковые карманы на молнии, а так же внутренние эластичные манжеты с прорезями для больших пальцев.</t>
  </si>
  <si>
    <t>UA Rival Flc Graphic Hoodie</t>
  </si>
  <si>
    <t>1370349-011</t>
  </si>
  <si>
    <t>Это ваша новая любимая одежда для разминки — она легкая, удобная и супермягкая внутри.
Легкий и очень удобный флис из смесового хлопка с начесом внутри обеспечивает тепло и комфорт.
Передний карман-кенгуру.
Ребристые манжеты и нижний край.</t>
  </si>
  <si>
    <t>UA CGI Shield 2.0</t>
  </si>
  <si>
    <t>1371586-012</t>
  </si>
  <si>
    <t>Мужская куртка UA Storm ColdGear Infrared Shield 2.0.
Технология UA Storm отталкивает воду, не жертвуя воздухопроницаемостью.
Прочный 3-слойный материал softshell имеет бесшумный внешний слой и превосходную эластичность.
Ветрозащитные материалы защищают вас от непогоды
В подкладке ColdGear Infrared используется мягкое теплопроводящее покрытие, которое поглощает и сохраняет тепло вашего тела.
Материал, растягивающийся в 4 направлениях, лучше движется во всех направлениях
Надежные карманы на молнии для рук и нагрудный карман
Регулировка шнурка по нижней кромке для надежной индивидуальной подгонки</t>
  </si>
  <si>
    <t>100% Полиэстер</t>
  </si>
  <si>
    <t>UA Unstoppable Woven Jacket</t>
  </si>
  <si>
    <t>6014621-299</t>
  </si>
  <si>
    <t>Всегда на высоте — эта куртка создана из нашей самой технологичной тканой материи, которая отталкивает воду, растягивается, когда это нужно, и обладает исключительной прочностью. Поэтому, выходя на улицу, вы можете делать это с уверенностью.
• Технология UA Storm отталкивает влагу, не жертвуя воздухопроницаемостью
• Эластичная тканая основа — лёгкая, износостойкая и не сковывает движений
• Надёжные ручные карманы на молнии
• Шнурки-регуляторы на капюшоне и по нижнему краю для идеальной посадки</t>
  </si>
  <si>
    <t>6014621-338</t>
  </si>
  <si>
    <t>1373358-299</t>
  </si>
  <si>
    <t>Under Armour UA Armour Fleece 1/4 Zip: Легкий и теплый мужской джемпер для активности.
Under Armour Armour Fleece — это оригинальная высокотехнологичная замена флису старой школы. Он невероятно легкий, дышащий и эластичный, обеспечивая тепло без лишнего объема, что позволяет вам свободно двигаться во время тренировок или активного отдыха.
Идеально подходит для ношения в прохладную погоду, как самостоятельный предмет одежды, так и в качестве среднего слоя. Отлично подходит для занятий спортом на открытом воздухе, гольфа, активного отдыха и повседневной носки. Легкий, дышащий и эластичный материал для тепла, не сковывающего движений.Мягкий внутренний слой задерживает тепло, обеспечивая комфорт.Материал 4-Way Stretch обеспечивает максимальную мобильность. Свободный крой . Молния на четверть для легкого надевания и снятия, а также для регулировки вентиляции.
 Открытые карманы для рук.Материал: 100% полиэстер. Основная ткань содержит не менее 90% переработанного полиэстера, за исключением отделки. 
На этом джемпере присутствует печатный логотип Under Armour.</t>
  </si>
  <si>
    <t>хаки, черный</t>
  </si>
  <si>
    <t>M Explor Trail Run 1/4 Zip</t>
  </si>
  <si>
    <t>6009553-016</t>
  </si>
  <si>
    <t>Беговая экипировка, разработанная специально для преодоления препятствий на пересеченной местности. Легкая, сверхпрочная, эластичная и быстросохнущая. Ни один трейл не будет слишком сложным.
Особенности:
Сетчатая ткань UA Microthread сохнет быстрее, не прилипает к телу, не вызывает раздражения и растягивается, не впитывая пот
Материал отводит влагу и очень быстро сохнет
Прочная ткань Airvent под мышками и по центру спины для дополнительной воздухопроницаемости в нужных зонах
Застежка-молния на ¼ длины обеспечивает удобство при многослойной носке
Встроенные отверстия для больших пальцев помогают зафиксировать рукава; специальное отверстие для часов на левом запястье для быстрого и удобного доступа
Рукава реглан
Технология контроля запаха минимизирует появление неприятных ароматов</t>
  </si>
  <si>
    <t>UA Storm Windstrike HZ</t>
  </si>
  <si>
    <t>1377382-002</t>
  </si>
  <si>
    <t>Некоторые люди направляются в здание клуба, когда наступает плохая погода, но это снаряжение предназначено для серьезных игроков в гольф, которые выдерживают все испытания и выдерживают все испытания. Он устойчив к ветру и воде, поэтому вы можете игнорировать непогоду и оставаться взаперти. Технология UA Storm отталкивает воду, не жертвуя воздухопроницаемостью.
Ветрозащитные материалы и дизайн защитят вас от непогоды. Прочная эластичная ткань, тихая и мягкая, не отвлекает вас во время качелей. Растягивается в четырех направлениях и обновленный дизайн спинки для улучшения мобильности. Просторная молния на ½ спереди позволяет легко надевать несколько слоев одежды. Используются водоотталкивающие средства, не содержащие фтора. Эта куртка, созданная с использованием технологии UA Storm, выходит за рамки традиционной верхней одежды. Экологически чистая обработка, не содержащая фтора, отталкивает воду, не ухудшая воздухопроницаемость, гарантируя вам комфорт и сосредоточенность независимо от погоды. Прочная эластичная ткань ветронепроницаема и образует непроницаемый барьер от резкого ветра и непогоды. Возможность растягивания в четырех направлениях и обновленный дизайн спинки гарантируют повышенную мобильность, а большая передняя молния на 1/2 обеспечивает бесшовное надевание. Особенности дизайна: Логотип Under Armour спереди слева; тиснение логотипа на застежке-молнии и эластичных зажимах на подоле; корпус с цветными блоками; прочное водоотталкивающее покрытие сохраняет сухость и легкость; материальные инновации защитят вас от ветра
Размер и посадка: Свободный крой: более широкий крой для полного комфорта. На модели размер Medium; Рост модели 6 футов 2-1/2 дюйма, талия 32 дюйма, внутренний шов 32 дюйма.
Вырез: воротник-стойка и молния 1/2.
Карманы: Нет. Длина: 28 дюймов. Ширина: 23 дюйма</t>
  </si>
  <si>
    <t>96% полиэстер, 4% эластан</t>
  </si>
  <si>
    <t>UA PIQUE TRACK JACKET</t>
  </si>
  <si>
    <t>1366202-410</t>
  </si>
  <si>
    <t>Ветровка Under Armour Pique Track Jacket держит ваши мышцы в разогретом состоянии. Текстурированная ткань обеспечивает дополнительную воздухопроницаемость даже при повышении температуры. Фактурный трикотаж - легкий, прочный и дышащий материал, отводит пот и очень быстро сохнет. Надежные карманы на молнии для рук.</t>
  </si>
  <si>
    <t>UA ORIGINATORS LETTERMAN</t>
  </si>
  <si>
    <t>1366418-277</t>
  </si>
  <si>
    <t>Бомбер</t>
  </si>
  <si>
    <t>Этот ультра-удобный флисовый материал идеально подходит для всех перерывов, когда вы не на поле. Сверхмягкий хлопковый флис в винтажном стиле старой школы. Мягкая, начесанная внутри сохраняет тепло. Ребристый воротник, манжеты и нижний край.</t>
  </si>
  <si>
    <t>UA Rival Fleece Graphic HD</t>
  </si>
  <si>
    <t>1379760-390</t>
  </si>
  <si>
    <t>Положитесь на эту толстовку с капюшоном: она станет незаменимой вещью, которая легко сочетается с вашими повседневными предметами гардероба и придаст вашему образу неповторимый стиль.</t>
  </si>
  <si>
    <t>зеленый/белый</t>
  </si>
  <si>
    <t>UA Icon Heavy Rib Hdy</t>
  </si>
  <si>
    <t>6008900-418</t>
  </si>
  <si>
    <t>Худи Under Armour UA Icon Heavy Rib Hdy — это часть линейки Icon Fleece, которая отличается чистым, объемным кроем, одинаково органично смотрящимся как со спортивной экипировкой, так и с повседневной одеждой. Это плотное худи с ребристыми вставками создано для обеспечения тепла и комфорта в самые холодные дни.  Идеально подходит для повседневного ношения в прохладную и холодную погоду, сочетается со спортивным и кэжуал стилем. Подходит для разминки или заминки после тренировок на открытом воздухе.Модель выполнена из плотного материала с внутренней отделкой, обеспечивающей высокий уровень тепла и мягкости. Худи имеет классический крой, длинные рукава и один карман кенгуру.Материал верха: Текстиль. 
Это худи ценят за его тепло, комфорт и универсальность, что делает его практичным выбором для осенне-зимнего сезона.</t>
  </si>
  <si>
    <t>UA Unstoppable Jacket LC</t>
  </si>
  <si>
    <t>1389354-044</t>
  </si>
  <si>
    <t>Under Armour Men's UA Unstoppable Jacket LC сочетает превосходный дизайн и передовые технологии для идеальной защиты на бегу. Состав из 90% полиэстера и 10% эластана обеспечивает свободу движений и эффективное отведение влаги, что делает эту ветровку незаменимой в вашем гардеробе. Эластичность изделия гарантирует максимальную подвижность, не сковывая движения при беге и других активностях.
- Быстросохнущий материал эффективно впитывает пот и обеспечивает комфорт в любых условиях, поддерживая вас в сухости и свежести.
- Логотип на груди добавляет утонченности и подчеркивает брэнд, делая ветровку стильной как на пробежке, так и в городской жизни.
- Лаконичный дизайн предлагает универсальный стиль, который легко сочетается с другими элементами гардероба.
- Легкость и прочность конструкции обеспечивают износостойкость и долговечность, что идеально подходит для регулярного использования.
- Отличная вентиляция способствует поддержанию оптимального микроклимата, предотвращая перегрев во время интенсивных тренировок.</t>
  </si>
  <si>
    <t>UA Icon Fleece FZ Taping</t>
  </si>
  <si>
    <t>1390298-001</t>
  </si>
  <si>
    <t>Чрезвычайно мягкий, средней тяжести флис из смеси хлопка с начёсанной внутренней частью для дополнительного тепла
• Открытые карманы для рук
• Ребристые манжеты и низ
• Детали с фирменными лентами</t>
  </si>
  <si>
    <t>1373880-391</t>
  </si>
  <si>
    <t>UA VIBE WOVEN WINDBREAKER</t>
  </si>
  <si>
    <t>6009836-001</t>
  </si>
  <si>
    <t>Неслучайно ветровки остаются обязательным элементом гардероба каждого спортсмена. Они легкие, защищают от ветра, не создавая ощущения жары, и созданы для активного движения.
Детали:
Технология UA Storm отталкивает воду, не жертвуя воздухопроницаемостью.
Эластичная ткань легкая, прочная и движется вместе с вами.
Материал, растягивающийся в 4 направлениях, обеспечивает свободу движений.
Надежные карманы на молнии.
Эластичные манжеты.
Используется водоотталкивающая обработка без фтора.</t>
  </si>
  <si>
    <t>6009836-025</t>
  </si>
  <si>
    <t>6009836-498</t>
  </si>
  <si>
    <t>Perpetl Vest-RED</t>
  </si>
  <si>
    <t>1320977-890</t>
  </si>
  <si>
    <t>100% Нейлон</t>
  </si>
  <si>
    <t>UA Tech 2.0 1/2 Zip</t>
  </si>
  <si>
    <t>1328495-090</t>
  </si>
  <si>
    <t>Очень лёгкий и дышащий материал ощущается на теле очень естественно и отличается прекрасными тактильными ощущениями. Материал, на 100% состоящий из высококачественного полиэстера, мгновенно выводит влагу, обеспечивая сухость и комфорт во время тренировки.  Антибактериальная обработка препятствует росту числа бактерий, нивелируя тем самым риск возникновения нежелательных запахов. Ворот и молния 1/4 очень удобны в использовании и отлично вписываются в дизайн изделия.</t>
  </si>
  <si>
    <t>UA Tech. Оригинальная экипировка для регулярных тренировок: свободная, легкая и поддерживающая ощущение прохлады. Ткань UA Tech™ быстросохнущая, ультрамягкая и более естественная на ощупь. Материал отводит пот и очень быстро сохнет.</t>
  </si>
  <si>
    <t>1328495-392</t>
  </si>
  <si>
    <t>Джемпер Men Tech 2.0 1/2 Zip от Under Armour — это сочетание технологичности и комфорта в спортивной одежде. Современный крой добавляет стильности, а 100% полиэстер обеспечивает легкость и удобство. Этот джемпер предназначен для тренировок и активного отдыха, сохраняя сухость и свежесть на протяжении всего занятия.
- Лёгкий и дышащий материал из высококачественного полиэстера мгновенно выводит влагу, поддерживая комфорт и сухость.
- Антибактериальная обработка снижает риск развития неприятных запахов, что делает джемпер идеальным для интенсивных тренировок.
- Удобный воротник с молнией 1/2 обеспечивает дополнительную вентиляцию и добавляет функциональности изделию.
- Деликатная стирка при 30 градусах помогает сохранить форму и цвет, продлевая срок службы одежды.
- Современный крой подчеркивают стиль и универсальность, подходят для разных видов активности.
- Джемпер идеально сочетается с другими элементами спортивной экипировки от Under Armour для создания целостного образа.</t>
  </si>
  <si>
    <t>SPORTSTYLE TRICOT JACKET</t>
  </si>
  <si>
    <t>1329293-011</t>
  </si>
  <si>
    <t>Олимпийка Sportstyle Tricot Jacket от Under Armour — это стильное решение для любого мужчины, стремящегося поддерживать активный образ жизни. Изготовленная из 100% полиэстера, она предлагает оптимальное сочетание комфорта и функциональности, что делает её идеальной для повседневного использования в различных условиях. Свободный крой гарантирует полную свободу движений, не стесняя активности независимо от интенсивности тренировок.
- Гладкий трикотаж внешнего слоя и начес внутри обеспечивают мягкость и комфорт, создавая приятное ощущение тепла и уюта.
- Текстурированная ткань повышает воздухопроницаемость, так что мышцам не грозит перегрев, даже при высоком уровне физической активности.
- Материал, из которого сделана олимпийка, эффективно впитывает пот и быстро сохнет, поддерживая свежесть и комфорт на протяжении всего дня.
- Ребристые манжеты и низ обеспечивают надежную фиксацию одежды на теле, предотвращая нежелательное смещение во время движения.
- Открытые карманы для рук добавляют удобство и функциональность, предоставляя пространство для хранения небольших предметов.</t>
  </si>
  <si>
    <t>1329293-390</t>
  </si>
  <si>
    <t>1356317-001</t>
  </si>
  <si>
    <t>Это ваша новая любимая худи практически для всего, что вы делаете - она ​​легкая, удобная и очень мягкая внутри. Ультрамягкий флис из хлопка средней плотности с начесом на внутренней стороне для дополнительного тепла. Большой капюшон с регулировкой на шнурке. Передний карман-кенгуру. Ребристые манжеты и нижний край.</t>
  </si>
  <si>
    <t>UA Rival Fleece Big Logo HD</t>
  </si>
  <si>
    <t>1357093-011</t>
  </si>
  <si>
    <t>Ультрамягкий флис из хлопка средней плотности с начесом внутри для дополнительного тепла. Регулируемый капюшон. Передний карман-кенгуру. Эластичные манжеты и нижний край. Рукава реглан.</t>
  </si>
  <si>
    <t>1357093-012</t>
  </si>
  <si>
    <t>1357093-176</t>
  </si>
  <si>
    <t>1357093-410</t>
  </si>
  <si>
    <t>1357093-558</t>
  </si>
  <si>
    <t>UA Rival Fleece Big Logo HD-RED</t>
  </si>
  <si>
    <t>1357093-690</t>
  </si>
  <si>
    <t>UA RIVAL FLC COLORBLOCK HD</t>
  </si>
  <si>
    <t>1366357-409</t>
  </si>
  <si>
    <t>Худи UA Rival Flc Colorblock HD выполнено из ультрамягкого хлопка с добавлением флиса для дополнительного тепла. Есть удобный карман-кенгуру и вшитый капюшон. Идеально подходит и для тренировок, и для прогулок.</t>
  </si>
  <si>
    <t>1366438-478</t>
  </si>
  <si>
    <t>UA RIVAL TERRY LC FZ</t>
  </si>
  <si>
    <t>1370409-001</t>
  </si>
  <si>
    <t>1370409-025</t>
  </si>
  <si>
    <t>Мужская толстовка с капюшоном Under Armour Rival Terry Full Zip — это идеальный выбор для тех, кто ценит комфорт и стиль в повседневной жизни и на тренировках. Изготовленная из легкой и мягкой махровой ткани, эта толстовка обеспечивает отличный уровень тепла без лишнего веса. Специальный внутренний начес добавляет дополнительный комфорт и уют в прохладную погоду. Материал эффективно отводит влагу и быстро сохнет, что делает её подходящей для активного образа жизни. Четырехсторонняя растяжимость ткани позволяет двигаться свободно и не ограничивать себя в движении. Толстовка оснащена полной застежкой-молнией, что делает её удобной для быстрого надевания и снятия. Регулируемый капюшон защитит вас от ветра, а карманы обеспечат удобство хранения небольших вещей. Фирменный логотип Under Armour завершает стильный и современный образ, подчеркивая качество и надежность бренда.</t>
  </si>
  <si>
    <t>1370409-361</t>
  </si>
  <si>
    <t>Rival Terry CB FZ Hoodie</t>
  </si>
  <si>
    <t>1370941-852</t>
  </si>
  <si>
    <t>Гладкий внешний слой и теплый мягкий внутренний слой. Материал отводит пот и очень быстро сохнет. Открытые карманы для рук.</t>
  </si>
  <si>
    <t>SHIELD JACKET</t>
  </si>
  <si>
    <t>1371586-003</t>
  </si>
  <si>
    <t>Мужская куртка UA Storm ColdGear Infrared Shield 2.0.Технология UA Storm отталкивает воду, не жертвуя воздухопроницаемостью. Прочный 3-слойный материал softshell имеет бесшумный внешний слой и превосходную эластичность. Ветрозащитные материалы защищают вас от непогоды. В подкладке ColdGear Infrared используется мягкое теплопроводящее покрытие, которое поглощает и сохраняет тепло вашего тела. Материал, растягивающийся в 4 направлениях, лучше движется во всех направлениях. Надежные карманы на молнии для рук и нагрудный карман. Регулировка шнурка по нижней кромке для надежной индивидуальной подгонки</t>
  </si>
  <si>
    <t>UA ColdGear Infrared. Теплопроводящий внутренний слой для поглощения и сохранения тепла тела.; 4-Way Srtetch. Легкий материал повышенной потности и эластичности.; Softshell. Защищает от непогоды.</t>
  </si>
  <si>
    <t>1371586-025</t>
  </si>
  <si>
    <t>1373353-001</t>
  </si>
  <si>
    <t>Мужская толстовка с капюшоном Armor Fleece.
Armor Fleece легкий, дышащий и эластичный, сохраняет тепло и позволяет двигаться.
Мягкий внутренний слой удерживает тепло, чтобы вам было тепло и комфортно
Капюшон для дополнительной защиты с регулировкой на шнурке
Передний карман-кенгуру.</t>
  </si>
  <si>
    <t>1373353-014</t>
  </si>
  <si>
    <t>1373354-001</t>
  </si>
  <si>
    <t>1373354-310</t>
  </si>
  <si>
    <t>UA Armour Fleece FZ Hoodie-BLK</t>
  </si>
  <si>
    <t>1373357-001</t>
  </si>
  <si>
    <t>1373357-025</t>
  </si>
  <si>
    <t>1373357-390</t>
  </si>
  <si>
    <t>1373358-600</t>
  </si>
  <si>
    <t>бордовый, черный</t>
  </si>
  <si>
    <t>UA Armour Fleece FZ</t>
  </si>
  <si>
    <t>1373541-001</t>
  </si>
  <si>
    <t>Мягкий, теплый материал с влаговыводящими свойствамиБоковые карманы</t>
  </si>
  <si>
    <t>UA Storm SweaterFleece Crew</t>
  </si>
  <si>
    <t>1373675-001</t>
  </si>
  <si>
    <t>Under Armour Storm SweaterFleece Crew — идеальное решение для повседневного стиля, объединяющее в себе комфорт и функциональность. Изготовленный из 100% полиэстера, этот свитшот обеспечивает отличную теплоизоляцию и защиту от влаги благодаря инновационной технологии UA Storm. UA Storm обеспечивает водоотталкивающие свойства, позволяя оставаться сухим в любых условиях, что особенно актуально для активного образа жизни.
- Свитшот сохраняет тепло благодаря технологии SweaterFleece, которая сочетает легкость и теплоизоляцию.
- Материал из 100% полиэстера гарантирует долговечность и устойчивость к износу, обеспечивая долгосрочное использование.
- Дышащая структура свитшота позволяет избежать перегрева, поддерживая комфортную температуру тела в помещении и на улице.
- Современный крой подходит для различных повседневных стилей, что делает его универсальным элементом гардероба.
- Эластичные манжеты и нижняя кромка обеспечивают отличную посадку, которая сохраняется даже при активных движениях.</t>
  </si>
  <si>
    <t>UA Essential Fleece Hoodie-BLK</t>
  </si>
  <si>
    <t>1373880-001</t>
  </si>
  <si>
    <t>1373880-012</t>
  </si>
  <si>
    <t>1373880-110</t>
  </si>
  <si>
    <t>1373880-203</t>
  </si>
  <si>
    <t>1373880-338</t>
  </si>
  <si>
    <t>1373880-477</t>
  </si>
  <si>
    <t>1373880-842</t>
  </si>
  <si>
    <t>UA Essential Fleece FZ Hood</t>
  </si>
  <si>
    <t>1373881-012</t>
  </si>
  <si>
    <t>Мужская толстовка из очень мягкого хлопкового флиса обеспечивает комфорт во время носки.
Чрезвычайно мягкий хлопковый флис средней плотности с начесом внутри для большего тепла.
Открытые карманы для рук.
Ребристые манжеты и нижний край.
Вышитый логотип.</t>
  </si>
  <si>
    <t>1373881-400</t>
  </si>
  <si>
    <t>1373881-402</t>
  </si>
  <si>
    <t>Толстовка Under Armour UA Icon Fleece Full-Zip Hoodie — это мужская толстовка с капюшоном на полной молнии под названием . Она предназначена для комфортного повседневного использования, а также для разогрева перед тренировками или отдыха после них.  Идеально подходит для создания комфортного образа в прохладную погоду, для разминки или просто для отдыха дома. Это универсальный предмет гардероба, который обеспечивает тепло и свободу движений. Изготовлена из ультрамягкого флиса средней плотности из смесового хлопка. Состав: 80% хлопок, 20% полиэстер.
 Внутренняя сторона с начесом обеспечивает дополнительное тепло и мягкость. Застежка-молния по всей длине для легкого надевания и снятия, а также для многослойности. Открытые карманы для рук. Трикотажные манжеты и нижний край в рубчик. Уютный капюшон для защиты от ветра и холода.
 Свободный крой (Loose), для полного комфорта и свободы движений.
Эта толстовка сочетает в себе высокую износостойкость материалов и отличные теплоизоляционные свойства, что делает ее долговечным и функциональным выбором. Фирменный стиль Under Armour и яркий цвет добавят индивидуальности в любой спортивный или повседневный гардероб.</t>
  </si>
  <si>
    <t>1373881-410</t>
  </si>
  <si>
    <t>UA Essential Fleece Crew-BLK</t>
  </si>
  <si>
    <t>1374250-001</t>
  </si>
  <si>
    <t>Разминка заключается не только в том, чтобы чувствовать себя комфортно перед большой игрой — хотя эта флисовая одежда, безусловно, является одной из самых удобных, которые вы когда-либо чувствовали, — речь идет о том, чтобы быть в правильном пространстве, сосредоточиться и держать свое тело наготове.</t>
  </si>
  <si>
    <t>UA Essential Fleece Crew</t>
  </si>
  <si>
    <t>1374250-012</t>
  </si>
  <si>
    <t>1374250-410</t>
  </si>
  <si>
    <t>UA Icon Fleece Crew</t>
  </si>
  <si>
    <t>1374250-452</t>
  </si>
  <si>
    <t>Свитшот Under Armour UA Icon Fleece Crew  ультрамягкий и универсальный мужской свитшот.Это часть фирменной коллекции флисовой одежды, которая обеспечивает исключительный комфорт и тепло. Он разработан для создания повседневного образа, который одинаково хорошо сочетается как со спортивной одеждой, так и с джинсами.
 Идеально подходит для повседневного ношения в прохладную погоду, отдыха дома, легких физических упражнений, разминки или заминки.
 Изготовлен из ультрамягкого флиса средней плотности (смесь хлопка и полиэстера) с начесом на внутренней стороне для дополнительного тепла и комфорта. На изделии присутствует вышитый логотип Under Armour.Модель имеет свободный, объемный крой (Loose fit), который гарантирует полную свободу движений.Круглый вырез горловины и ребристые манжеты и нижний край.Материал: 80% хлопок, 20% полиэстер. 
Этот свитшот обладает отличным комфортом, гибкостью и воздухопроницаемостью, что делает его надежным выбором для любого случая.</t>
  </si>
  <si>
    <t>CLOUDSTRIKE JACKET</t>
  </si>
  <si>
    <t>1374644-003</t>
  </si>
  <si>
    <t>Cloudstrike 2.0 – инновационная ветровка, созданная для настоящих спортивных энтузиастов. Эта ультралегкая и дышащая ветровка идеально подходит для активных тренировок на открытом воздухе. Она обеспечивает превосходную защиту от ветра и внезапных осадков благодаря своей водоотталкивающей поверхности. Современный и стильный дизайн делает Cloudstrike 2.0 не только функциональной, но и модной деталью вашего спортивного гардероба. Благодаря своей легкости и компактности, вы можете легко сложить ее в сумку и всегда иметь под рукой, чтобы быть готовым к переменчивым погодным условиям. Не позволяйте погоде остановить вас – Cloudstrike 2.0 поможет вам выйти на треки и достичь новых высот в спорте.</t>
  </si>
  <si>
    <t>1374644-452</t>
  </si>
  <si>
    <t>1374645-002</t>
  </si>
  <si>
    <t>Лёгкая и технологичная женская ветровка, созданная для активного движения в любых погодных условиях. Модель отлично подойдёт для тренировок, походов и повседневной носки в межсезонье.
Ветровка выполнена из 100% переработанного нейлона и отличается прочностью, полной водонепроницаемостью и высокой воздухопроницаемостью. Материал дополнен безвредным для окружающей среды водоотталкивающим покрытием DWR без содержания фтора.
Технологии и функциональность:
• Технология UA Storm надёжно защищает от влаги, не блокируя циркуляцию воздуха
• Лёгкая 2,5-слойная ткань с проклеенными швами обеспечивает защиту от дождя и ветра
• Регулируемый капюшон и нижний край позволяют подогнать посадку под себя
• Эластичные манжеты надёжно фиксируют рукава и предотвращают попадание влаги
• Застёжка-молния с внешней ветрозащитной планкой
• Два боковых кармана на молнии для безопасного хранения вещей
• Свободный крой (Fuller cut) — обеспечивает свободу движений и комфорт при многослойной одежде</t>
  </si>
  <si>
    <t>UA OutRun the STORM Jacket</t>
  </si>
  <si>
    <t>1376794-015</t>
  </si>
  <si>
    <t>Ветровка UA Outrun The Storm Jacket – это жемчужина инновационных технологий Under Armour, созданная для тех, кто не признает преград и стремится к победе в любых условиях! Это не просто куртка, это ваш незаменимый союзник в борьбе с непогодой и ваш секретный элемент успеха на пути к личным рекордам.Ключевые особенности:Защита от элементов: UA Outrun The Storm Jacket предназначена для полной защиты от ветра и дождя. Инновационная технология UA Storm обеспечивает водоотталкивающий эффект, сохраняя при этом дышащие свойства материала.Легкость и комфорт: Суперлегкий материал обеспечивает исключительный комфорт и свободу движений, чтобы вы могли сосредоточиться на своих тренировках, а не на ношении тяжелой одежды.Эргономичный дизайн: Продуманная конструкция для активного движения гарантирует, что куртка не будет сковывать ваши движения, даже когда вы бежите, прыгаете или поднимаетесь в гору.Вентиляционные панели: Вентиляционные панели улучшают циркуляцию воздуха, обеспечивая комфорт и охлаждение даже в самых интенсивных режимах тренировок.Отражающие детали: Улучшенная видимость в условиях плохой освещенности благодаря стильным отражающим элементам, которые сделают ваши тренировки более безопасными в темное время суток.Функциональность: Практичные карманы на молнии, защитный капюшон и регуляторы для индивидуальной посадки – каждая деталь ветровки продумана до мелочей для максимального удобства.Обладая гладкой и стильной текстурой, подчеркнутой профессиональным кроем, ветровка UA Outrun The Storm Jacket идеально подходит для активных людей, которые ценят качество, стиль и функциональность в одном флаконе. Неважно, выгуливаете ли вы собаку в прохладный вечер или преодолеваете кросс-кантри трассу – эта ветровка будет вашим надежным защитником, позволяющим оставаться сосредоточенным на достижении цели. Ощутите уверенность в любую погоду с UA Outrun The Storm Jacket!</t>
  </si>
  <si>
    <t>OUTRUN THE STORM JACKET</t>
  </si>
  <si>
    <t>1376794-025</t>
  </si>
  <si>
    <t>Ветровка Outrun The Storm Jacket – это жемчужина инновационных технологий Under Armour, созданная для тех, кто не признает преград и стремится к победе в любых условиях! 
Это не просто куртка, это ваш незаменимый союзник в борьбе с непогодой и ваш секретный элемент успеха на пути к личным рекордам. 
Ключевые особенности: 
-  Outrun The Storm Jacket предназначена для полной защиты от ветра и дождя. Инновационная технология UA Storm обеспечивает водоотталкивающий эффект, сохраняя при этом дышащие свойства материала.
 - Суперлегкий материал обеспечивает исключительный комфорт и свободу движений, чтобы вы могли сосредоточиться на своих тренировках, а не на ношении тяжелой одежды. 
 - Эргономичный дизайн: Продуманная конструкция для активного движения гарантирует, что куртка не будет сковывать ваши движения, даже когда вы бежите, прыгаете или поднимаетесь в гору. 
 - Вентиляционные панели улучшают циркуляцию воздуха, обеспечивая комфорт и охлаждение даже в самых интенсивных режимах тренировок. 
- Светоотражающие детали: улучшенная видимость в условиях плохой освещенности благодаря стильным отражающим элементам, которые сделают ваши тренировки более безопасными в темное время суток.  
 - Функциональность: практичные карманы на молнии, защитный капюшон и регуляторы для индивидуальной посадки – каждая деталь ветровки продумана до мелочей для максимального удобства. 
Обладая гладкой и стильной текстурой, подчеркнутой профессиональным кроем, ветровка Outrun The Storm Jacket идеально подходит для активных людей, которые ценят качество, стиль и функциональность в одном флаконе. Неважно, выгуливаете ли вы собаку в прохладный вечер или преодолеваете кросс-кантри трассу – эта ветровка будет вашим надежным защитником, позволяющим оставаться сосредоточенным на достижении цели.</t>
  </si>
  <si>
    <t>1376794-348</t>
  </si>
  <si>
    <t>1376794-743</t>
  </si>
  <si>
    <t>UA OutRun the Storm Jkt</t>
  </si>
  <si>
    <t>1377043-002</t>
  </si>
  <si>
    <t>1378495-001</t>
  </si>
  <si>
    <t>Meridian Jacket</t>
  </si>
  <si>
    <t>1379157-001</t>
  </si>
  <si>
    <t>Тренироваться будет гораздо удобнее, если вы наденете лонгслив от Under Armour.
ОТВЕДЕНИЕ ВЛАГИ
Благодаря технологии UA Tech ткань отводит пот от кожи, быстро сохнет и обладает невероятной мягкостью.
КОМФОРТНАЯ ПОСАДКА
Приталенный крой подчеркивает линии тела. Эластичная ткань 4-Way Stretch тянется в 4 направлениях — никаких стеснений на тренировке.
КОМФОРТ
Манжеты с отверстием для большого пальца фиксируют рукава, не позволяя им задираться.
ПРАКТИЧНОСТЬ
Мелочи, которые важно взять с собой на тренировку, можно убрать в 2 кармана и не занимать руки.
ЗАЩИТА ОТ НЕПОГОДЫ
Высокий воротник-стойка защитит шею от продувания. То что нужно для занятий на улице!</t>
  </si>
  <si>
    <t>QUALIFIER RUN 1/4 ZIP</t>
  </si>
  <si>
    <t>1379288-001</t>
  </si>
  <si>
    <t>Спортивный джемпер Under Armour QUALIFIER RUN 1/4 ZIP — это идеальный выбор для тех, кто ценит комфорт и функциональность. Изготовленный из мягкой трикотажной ткани, он не допускает скатываний и катышков, что сохраняет его чистую и аккуратную поверхность. Материал джемпера эффективно впитывает пот и очень быстро сохнет, обеспечивая ощущение свежести во время тренировок. Растягивающийся в четырех направлениях материал обеспечивает свободу движений. Ребристый воротник и манжеты добавляют эластичности и комфорта. Встроенные отверстия для большого пальца помогают удерживать рукава на месте, а отверстие для часов на левом запястье обеспечивает удобный доступ. Практичный правый карман для мелочей завершает функциональность джемпера.</t>
  </si>
  <si>
    <t>88% полиэстер, 12% эластан</t>
  </si>
  <si>
    <t>1379288-025</t>
  </si>
  <si>
    <t>UA Qualifier Run 1/2 Zip</t>
  </si>
  <si>
    <t>1379349-001</t>
  </si>
  <si>
    <t>Комфортнее, чем это, бывает редко. Благодаря сверхэластичной ткани одежда движется вместе с вами, а не против вас, поэтому вы никогда не чувствуете стеснения.
Мягкая трикотажная ткань устойчива к затяжкам и образованию катышков, обеспечивая гладкую и аккуратную поверхность без зацепок.
Материал эффективно отводит влагу и очень быстро сохнет.
Четырехсторонняя эластичность позволяет ткани свободно тянуться во всех направлениях.
Встроенные отверстия для больших пальцев фиксируют рукава на месте, а на левом запястье предусмотрено специальное отверстие для циферблата часов, чтобы вы могли легко и быстро ими воспользоваться.
Карман-конверт с правой стороны.
Удлиненная передняя молния до половины длины изделия обеспечивает удобное многослойное ношение.
Формованная нижняя кромка.</t>
  </si>
  <si>
    <t>UA Launch Pro Half Zip</t>
  </si>
  <si>
    <t>1379349-703</t>
  </si>
  <si>
    <t>Essential Flc OS Crew</t>
  </si>
  <si>
    <t>1379475-001</t>
  </si>
  <si>
    <t>Under Armour UA Icon Fleece OS Crew-  ультрамягкий и свободный женский свитшот (толстовке без молнии и капюшона).
Under Armour Icon Fleece OS Crew — это сочетание классического стиля и современного комфорта. Этот свитшот из мягкого флиса средней плотности обеспечивает тепло и уют, идеально подходя как для занятий спортом, так и для повседневной носки. 
 Отлично подходит для повседневного использования, отдыха дома, разминки или заминки после тренировок, а также в качестве стильного элемента гардероба в прохладную погоду. Изготовлен из ультрамягкого флиса средней плотности (смесь 80% хлопка и 20% полиэстера) с начесом на внутренней стороне для дополнительного тепла и комфорта.На изделии присутствует вышитый логотип Under Armour. Свободный, объемный крой  обеспечивает полную свободу движений. Воротник, манжеты и нижний край выполнены из эластичного материала в рубчик. Удлиненная задняя часть и заниженная линия плеча для создания модного образа.Этот свитшот ценится за его исключительный комфорт, мягкость и универсальность, что делает его практичным и надежным выбором для любого случая.</t>
  </si>
  <si>
    <t>Essential Fleece OS Crew</t>
  </si>
  <si>
    <t>1379475-012</t>
  </si>
  <si>
    <t>Свитшот от Under Armour – это отличный выбор для тех, кто ценит комфорт и стиль. Изготовленный из высококачественного материала, он обеспечивает мягкость и износостойкость. Свободный крой гарантирует удобство и полную свободу движений, делая его идеальным для активного дня. Длинные рукава добавляют тепла и уюта, что делает свитшот подходящим для прохладной погоды. Его универсальный дизайн позволяет легко сочетать свитшот с разными элементами гардероба, создавая расслабленный и модный образ. Идеально подходит как для спортивных занятий, так и для повседневной носки, оставаясь практичным и стильным решением.</t>
  </si>
  <si>
    <t>UA Icon Fleece OS Crew</t>
  </si>
  <si>
    <t>1379475-110</t>
  </si>
  <si>
    <t>Essential Flc OS Hoodie</t>
  </si>
  <si>
    <t>1379495-001</t>
  </si>
  <si>
    <t>Разминка — это не просто обеспечение комфорта перед важной игрой (хотя эта флисовая кофта, несомненно, одна из самых удобных, которые вы когда-либо чувствовали), это умение настроиться на нужный лад, сосредоточиться и поддерживать тело в готовности.
Ультрамягкий флис средней плотности из смеси хлопка с начесом внутри для дополнительного тепла
Ребристые манжеты и нижний край
Удлиненная длина корпуса и спущенный подол для создания эффекта свободного покроя
Более свободный покрой для полного комфорта.</t>
  </si>
  <si>
    <t>UA Rival Fleece Hoodie</t>
  </si>
  <si>
    <t>1379500-001</t>
  </si>
  <si>
    <t>Худи Under Armour UA Rival Fleece Hoodie для женщин сочетает в себе уютный комфорт и элегантный стиль, идеально подходящий для повседневной носки. Изготовленное из мягкой флисовой ткани, оно предлагает тепло и уют в прохладную погоду. Элегантный дизайн идеально сочетает в себе простоту и функциональность. Ткань из 80% хлопка и 20% полиэстера обеспечивает мягкость и комфорт, даря приятное ощущение на коже.
- Плотный флис внутри создает дополнительное тепло, идеально подходя для прохладных дней и вечеров.
- Эластичные манжеты и подол гарантируют точную посадку, защищая от холода и ветра.
- Классический капюшон с регулируемым шнурком обеспечивает дополнительную защиту от непогоды и стильный акцент.
- Современный дизайн с вместительным карманом "кенгуру" делает изделие практичным и стильным.
- Универсальность модели позволяет легко комбинировать её с другими предметами гардероба, создавая непринужденный и модный образ.</t>
  </si>
  <si>
    <t>UA Rival Fleece Big Logo Hdy</t>
  </si>
  <si>
    <t>1379501-638</t>
  </si>
  <si>
    <t>1379744-014</t>
  </si>
  <si>
    <t>Это мужское худи идеально подходит для холодного времени года. Оно изготовлено из легкого, дышащего и гибкого материала, который сохраняет тепло и обеспечивает свободу движений. Внутренняя мягкая поверхность худи удерживает тепло, обеспечивая комфорт и уют даже в самые холодные дни. На передней части худи имеется вместительный карман-кенгуру для хранения различных мелочей.</t>
  </si>
  <si>
    <t>UA ARMOUR FLEECE GRAPHIC HD</t>
  </si>
  <si>
    <t>1379744-743</t>
  </si>
  <si>
    <t>1379745-390</t>
  </si>
  <si>
    <t>1379755-001</t>
  </si>
  <si>
    <t>Свитшот UA Rival Fleece - это надежный выбор для активного образа жизни и стильного внешнего вида. Он обеспечивает оптимальное сочетание комфорта и функциональности благодаря передовым технологиям и высококачественным материалам.
- Мягкий флисовый материал. Обеспечивает тепло и уют даже в холодную погоду.
- Долговечность. Высококачественные материалы гарантируют сохранение формы и цвета после многочисленных стирок.
- Универсальный стиль. Классический круглый вырез и удобная посадка подходят для любого случая.
- Комфорт. Идеальный выбор для повседневного использования благодаря его эргономичному дизайну.
- Легкость ухода. Материал способствует лёгкому уходу и быстрой сушке.</t>
  </si>
  <si>
    <t>1379755-025</t>
  </si>
  <si>
    <t>1379755-390</t>
  </si>
  <si>
    <t>Свитшот UA Rival Fleece - это надежный выбор для активного образа жизни и стильного внешнего вида. Он изготовлен из мягкого флисового материала, который обеспечивает тепло и комфорт даже в холодную погоду. Высококачественные материалы, использованные при его изготовлении, гарантируют, что он будет служить вам долгое время, сохраняя свою форму и цвет даже после многочисленных стирок. Классический круглый вырез и посадка делают его универсальным и идеальным для повседневного использования.</t>
  </si>
  <si>
    <t>1379755-410</t>
  </si>
  <si>
    <t>1379757-025</t>
  </si>
  <si>
    <t>В этом худи Under Armour Rival Fleece Hoodie вы согреетесь и будете готовы практически ко всему. Худи легкое, удобное и очень мягкое внутри. 
Детали:
 - Ультрамягкий флис из смесового хлопка с начесом внутри для дополнительного тепла
- Передний карман-кенгуру
- Ребристые манжеты и нижний край
- Капюшон со шнурком
Рекомендации по уходу: Машинная стирка при температуре 30 градусов. Не сушить в сушильной машине. Не отбеливать. Не подвергать химической чистке.
е</t>
  </si>
  <si>
    <t>1379757-390</t>
  </si>
  <si>
    <t>Худи UA Rival Fleece Hoodie от Under Armour — это сочетание стиля и функциональности для активных людей. Оно состоит из 100% полиэстера, что делает его идеальным для прохладных дней. Его ультрамягкий флис с начесом внутри подарит тепло и максимальный комфорт в любую погоду. Современный дизайн и практичность делают эту модель незаменимой в вашем гардеробе. Уход за изделием упрощается деликатной машинной стиркой при 30 градусах.
- Ультрамягкий флис с начесом внутри сохраняет тепло и комфорт даже в холодную погоду, делая худи Under Armour идеальным выбором для осени и зимы.
- Передний карман-кенгуру обеспечивает удобство и идеально подходит для хранения мелочей.
- Капюшон со шнурком позволяет регулировать посадку в зависимости от погодных условий, защищая от ветра и дождя.
- Ребристые манжеты и нижний край обеспечивают надежную посадку, предотвращая проникновение холодного воздуха внутрь.
- Легкий и дышащий материал свободно пропускает воздух, предотвращая перегрев во время активных движений.
- Простой уход за худи возможен благодаря деликатной машинной стирке при 30 градусах, что сохраняет его первозданный вид.</t>
  </si>
  <si>
    <t>1379757-400</t>
  </si>
  <si>
    <t>В этом худи Under Armour Rival Fleece Hoodie вы согреетесь и будете готовы практически ко всему. Худи легкое, удобное и очень мягкое внутри. 
Детали:
 - Ультрамягкий флис из смесового хлопка с начесом внутри для дополнительного тепла
- Передний карман-кенгуру
- Ребристые манжеты и нижний край
- Капюшон со шнурком
Рекомендации по уходу: Машинная стирка при температуре 30 градусов. Не сушить в сушильной машине. Не отбеливать. Не подвергать химической чистке.</t>
  </si>
  <si>
    <t>1379757-410</t>
  </si>
  <si>
    <t>1379758-001</t>
  </si>
  <si>
    <t>Это снаряжение согреет вас и позволит быть готовым практически ко всему, что вы делаете: оно легкое, удобное и очень мягкое внутри.Функции:Ультрамягкий флис из хлопковой смеси с начесом внутри для дополнительного тепла.Передний карман-кенгуру. Ребристые манжеты и нижний край. Свободная посадка</t>
  </si>
  <si>
    <t>1379758-100</t>
  </si>
  <si>
    <t>1379758-390</t>
  </si>
  <si>
    <t>1379758-410</t>
  </si>
  <si>
    <t>1379758-426</t>
  </si>
  <si>
    <t>1379767-390</t>
  </si>
  <si>
    <t>Мужская флисовая толстовка Under Armour Rival Fleece FZ Hoodie — это идеальное сочетание комфорта и стиля для активных мужчин. Изготовленная из мягкого и теплого флисового материала, она обеспечивает надежную защиту от холода. Универсальный дизайн идеально вписывается как в повседневную, так и в спортивную гардеробную, подчеркивая ваш стиль и активный образ жизни.
- Высококачественный флис из 80% хлопка и 20% полиэстера сохраняет тепло, обеспечивая защиту в прохладную погоду.
- Капюшон с регулируемым шнурком добавляет защиту от ветра и легкого дождя, повышая функциональность модели.
- Удобный крой и эластичные манжеты позволяют свободно двигаться, не ограничивая активность.
- Полная молния спереди облегчает одевание и снимает толстовку, добавляя практичность в использование.
- Карманы для рук обеспечивают дополнительное комфортное хранение мелочей или могут использоваться для согрева рук в холодную погоду.</t>
  </si>
  <si>
    <t>1379767-410</t>
  </si>
  <si>
    <t>78% хлопок, 22% полиэстер</t>
  </si>
  <si>
    <t>Unstoppable Flc FZ</t>
  </si>
  <si>
    <t>1379842-001</t>
  </si>
  <si>
    <t>Повседневная толстовка Under Armour Unstoppable Flc FZ для женщин сочетает в себе модный дизайн и высокую функциональность. Используя сочетание полиэстера, хлопка и эластана, она обеспечивает комфорт и эластичность, оставаясь стильной и практичной для любого случая. Мягкая ткань из 65% полиэстера, 29% хлопка и 6% эластана гарантирует комфорт и приятное ощущение на коже.
- Эластичность материала позволяет не сковывать движения, что отлично подходит для активного повседневного использования.
- Полная молния спереди облегчает регулировку температуры и позволяет удобно снимать и надевать толстовку.
- Современный и стильный дизайн легко комбинируется с различной одеждой, создавая как спортивные, так и повседневные образы.
- Удобные карманы добавляют практичности, предоставляя место для хранения мелочей и согрева рук.
- Легкость и функциональность делают её идеальным выбором для тех, кто ценит моду и комфорт в повседневной жизни.</t>
  </si>
  <si>
    <t>Unstoppable Fleece FZ</t>
  </si>
  <si>
    <t>1379842-348</t>
  </si>
  <si>
    <t>UA Unstoppable Flc Crew</t>
  </si>
  <si>
    <t>1381688-001</t>
  </si>
  <si>
    <t>Этот мужской свитшот изготовлен из мягкой, эластичной и дышащей ткани с двойной сеткой, что обеспечивает превосходный комфорт и мобильность. Материал не впитывает пот, и благодаря этому одежда очень быстро сохнет. Конструкция эластичная и гарантирует отличную мобильность при движении под любым углом.</t>
  </si>
  <si>
    <t>65% полиэстер, 29% хлопок, 6% эластан</t>
  </si>
  <si>
    <t>1381688-390</t>
  </si>
  <si>
    <t>PJT RCK WARM UP JKT HOODED</t>
  </si>
  <si>
    <t>1383291-044</t>
  </si>
  <si>
    <t>Толстовка с коротким рукавом</t>
  </si>
  <si>
    <t>Технология UA Storm, водоотталкивающая способность и не ухудшает воздухопроницаемость. Легкий и гибкий тканый материал обеспечивает превосходный комфорт и долговечность. Его эластичная структура в четырех направлениях обеспечивает отличную мобильность под любым углом. Открытые карманы для рук и большой дополнительный карман с клапаном спереди. можно носить с другой одеждой благодаря широкой передней части на молнии. Потайной эластичный пояс. Идеально прилегает к телу благодаря водоотталкивающей пропитке. Стирать в стиральной машине в холодной воде с аналогичными цветами. Не использовать смягчитель ткани. Использовать только. при необходимости отбеливатель без хлора. Сушить в сушильной машине при низкой температуре. Не гладить. Не подвергать химической чистке.</t>
  </si>
  <si>
    <t>UA PJT RCK RENTS DUE SL HD</t>
  </si>
  <si>
    <t>1383303-011</t>
  </si>
  <si>
    <t>Тренировочное снаряжение Project Rock создано, чтобы помочь вам найти границы, а затем преодолеть их. Все в этой коллекции было лично одобрено Дуэйном Джонсоном. Супермягкая ткань на основе хлопка обеспечивает комфорт в течение всего дня
Передний карман-кенгуру
Заниженный, фасонный подол
Свободный : более свободный покрой для полного комфорта.</t>
  </si>
  <si>
    <t>60% хлопок, 40% полиэстер</t>
  </si>
  <si>
    <t>1383303-686</t>
  </si>
  <si>
    <t>UA Trail Run Jacket</t>
  </si>
  <si>
    <t>1383358-246</t>
  </si>
  <si>
    <t>Under Armour UA Trail Run Jacket 1 — лёгкая и прочная ветровка для трейл-раннинга и активных прогулок. Ткань с технологией UA Storm отталкивает воду и защищает от ветра, при этом хорошо «дышит». Прочный нейлоновый ripstop выдерживает интенсивное использование. Куртка оснащена регулируемым капюшоном, удобными карманами и легко складывается в компактный пакет. Отличный выбор для бега и любой активности на свежем воздухе.</t>
  </si>
  <si>
    <t>Tech 1/2 Zip- Twist</t>
  </si>
  <si>
    <t>1384225-601</t>
  </si>
  <si>
    <t>UA Tech™ – это наша оригинальная повседневная спортивная одежда: свободная, легкая и вентилируемая. Это все, что вам нужно.  
Ткань UA Tech™ быстро высыхает, невероятно мягкая и обладает более естественной текстурой.  
Материал отводит пот и очень быстро сохнет.  
Полноценная застежка-молния на передней части до половины длины обеспечивает удобство слоевого одевания.  
Технология контроля запахов минимизирует появление неприятных ароматов.  
Основная ткань содержит как минимум 30% переработанного полиэстера, кроме отделки и декоративных элементов.</t>
  </si>
  <si>
    <t>Rival Fleece OS Crew</t>
  </si>
  <si>
    <t>1386463-001</t>
  </si>
  <si>
    <t>Эта экипировка согреет вас и подготовит практически ко всему, что вы делаете — она легкая, удобная и очень мягкая внутри..
Ультрамягкий флис из хлопковой смеси с начесом внутри.
Удлиненный крой и заниженный подол.
Ребристый воротник, манжеты и нижний край.</t>
  </si>
  <si>
    <t>UA Rival Fleece OS Crew</t>
  </si>
  <si>
    <t>1386463-023</t>
  </si>
  <si>
    <t>1386463-403</t>
  </si>
  <si>
    <t>1386463-659</t>
  </si>
  <si>
    <t>UA Vibe Woven Windbreaker</t>
  </si>
  <si>
    <t>1386555-498</t>
  </si>
  <si>
    <t>Толстовка UA Vibe Woven Windbreaker — это идеальный выбор для активных мужчин, ищущих стиль и функциональность. Используя технологию UA Storm, эта модель отталкивает воду, сохраняя воздухопроницаемость и комфорт. Легкая ткань из полиэстера и эластана обеспечивает свободу движений, делая её идеальной для повседневного использования.
- Современная технология UA Storm защищает от дождя, при этом позволяя коже "дышать", что особенно важно в условиях изменчивой погоды.
- Легкий материал с эластичностью в четырех направлениях адаптируется под движения тела, предоставляя полный комфорт и долговечность.
- Карманы с молнией обеспечивают надежное хранение личных вещей, идеальные для ключей и телефона.
- Регулируемый нижний край позволяет настроить посадку под ваши предпочтения, обеспечивая дополнительный комфорт.
- Водоотталкивающее средство без фтора экологически безопасно и эффективно в условиях влажности.
- Использование более 80% переработанного полиэстера подчеркивает экологичность, сохраняя высокие технологические качества.</t>
  </si>
  <si>
    <t>PJT RCK HWT FZ TOOLS</t>
  </si>
  <si>
    <t>1386898-273</t>
  </si>
  <si>
    <t>Толстовка Under Armour PJT RCK HWT FZ TOOLS сочетает в себе стиль и функциональность, идеально подходя для активного образа жизни и повседневного ношения. Изготовленная из качественного смешанного материала на основе хлопка и полиэстера, эта толстовка обеспечивает мягкость и комфорт, а также практичность и износостойкость. Свободный крой и длинные рукава предлагают максимальную свободу движения, что делает его превосходным выбором для тренировок или отдыха. Универсальный дизайн с удобной молнией спереди позволяет легко адаптировать толстовку под погодные условия и различные образы. Незаменимый элемент гардероба, который обеспечивает уют и стиль в любой ситуации.</t>
  </si>
  <si>
    <t>PJT RCK HWT SS HDY TOOLS</t>
  </si>
  <si>
    <t>1386900-709</t>
  </si>
  <si>
    <t>Худи с коротким рукавом от Under Armour идеально сочетает в себе современный стиль и высокий уровень комфорта. 
Изготовлено из ультрамягкого флиса средней плотности с добавлением хлопка. Внутренний начес обеспечивает дополнительное тепло.
Дизайн: 
- Ребристый нижний край придаёт изделию структурированный вид;
- Необработанный край рукава добавляет модный и расслабленный акцент;
- Свободный покрой обеспечивает полный комфорт и свободу движений;
- С капюшоном для дополнительной защиты. 
Практичность: 
Подходит для повседневной носки и занятий спортом, оставаясь как практичной, так и удобной.</t>
  </si>
  <si>
    <t>UA Drive Midlayer Pullover</t>
  </si>
  <si>
    <t>1387124-001</t>
  </si>
  <si>
    <t>Это джемпер для гольфа обеспечивает дополнительное тепло, не увеличивая вес и объем.
Детали:
Сверхмягкая и эластичная трикотажная ткань двойного плетения обеспечивает тепло и комфорт в течение всего дня.
Материал отводит пот и очень быстро сохнет.
Эластичная ткань, растягивающаяся в 4 направлениях, обеспечивает лучшую свободу движений.</t>
  </si>
  <si>
    <t>67% полиэстер, 24% нейлон, 9% эластан</t>
  </si>
  <si>
    <t>UA M's Ch. Pro Jacket</t>
  </si>
  <si>
    <t>1387162-001</t>
  </si>
  <si>
    <t>Under Armour Ветровка Бег Мужчины UA M's Ch. Pro Jacket — идеальное сочетание стиля и функциональности для активных мужчин. Изготовленная из 97% полиэстера и 3% эластана, она предлагает превосходные характеристики, удобство и защиту. Технология UA Storm обеспечивает водоотталкивающую защиту, сохраняя воздухопроницаемость, что делает ее идеальной для любой погоды и интенсивности тренировок.
- Softshell и стеганая подкладка добавляют прочности и структуры, обеспечивая комфорт и свободу движений в любых условиях.
- Легкий флисовый утеплитель сохраняет тепло без лишнего объема, что позволяет свободно двигаться и не ощущать тяжести.
- Эластичный материал в четыре направления улучшает подвижность при любых активностях, соответствуя самым высоким стандартам спортивной одежды.
- Карманы на молнии предоставляют надежное хранение для всех ваших необходимых мелочей, гарантируя, что они останутся на своем месте.
- Современный дизайн и высокое качество материалов подчёркивают стиль и функциональность, обеспечивая уверенность и комфорт на каждом шагу.</t>
  </si>
  <si>
    <t>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 Softshell. Защищает от непогоды.</t>
  </si>
  <si>
    <t>97% полиэстер, 3% эластан</t>
  </si>
  <si>
    <t>UA PJT RCK SL HD PAYOFF</t>
  </si>
  <si>
    <t>1387796-709</t>
  </si>
  <si>
    <t>Худи без рукавов от Under Armour.
Это стильное и функциональное худи без рукавов изготовлено из супермягкой ткани на основе хлопка, обеспечивающей комфорт на протяжении всего дня. Встроенный передний карман-кенгуру добавляет практичности и удобства, а заниженный фасонный подол придаёт изысканный вид. Капюшон обеспечивает дополнительную защиту и уют. 
Худи включает в себя основную ткань, которая содержит переработанный полиэстер, что делает её экологичным выбором без ущерба для качества. Идеально подходит для повседневной носки и активного отдыха.</t>
  </si>
  <si>
    <t>1387796-800</t>
  </si>
  <si>
    <t>HeatGear Rib 1/4 Zip LS</t>
  </si>
  <si>
    <t>1388692-001</t>
  </si>
  <si>
    <t>Under Armour HeatGear Rib 1/4 Zip Long Sleeve — идеальный выбор для активных женщин. Этот лонгслив изготовлен из 87% полиэстера и 13% эластана, обеспечивая комфорт и производительность. HeatGear ткань делает его легким, дышащим и быстро сохнущим, идеально подходящим для интенсивных тренировок. Эластичные вставки в рубчик по бокам и швам создают идеальную посадку, подчеркивая силуэт и обеспечивая комфорт.
- Сверхлегкая и дышащая ткань HeatGear гарантирует, что вы останетесь сухой и свежей в течение всего дня, что делает его идеальным для фитнеса.
- Быстрое высыхание материала способствует быстрому поглощению и испарению влаги, обеспечивая комфорт во время тренировок.
- Четырехполосный эластичный материал позволяет двигаться свободно, обеспечивая поддержку и гибкость при любых физических нагрузках.
- Укороченная длина и стильная нижняя полоска с надписью гарантируют современный вид и удобство в движении.
- Технология контроля запаха минимизирует неприятные запахи, поддерживая чувство свежести на протяжении всего дня.</t>
  </si>
  <si>
    <t>UA Unstoppable Flc FZ HD EU</t>
  </si>
  <si>
    <t>1389352-011</t>
  </si>
  <si>
    <t>Under Armour Men's UA Unstoppable Fleece Full Zip Hoodie EU — базовый элемент вашего гардероба, сочетающий стиль и функциональность для активной жизни. Изготовленная из 65% полиэстера, 29% хлопка и 6% эластана, эта толстовка обеспечивает комфорт и защиту в любых условиях. Эффективное отведение влаги позволяет ткани легко впитывать пот и быстро его испарять, обеспечивая вам сухость и свежесть во время бега.
- Мягкая и дышащая ткань сочетает в себе полиэстер, хлопок и эластан, создавая удобную и уютную одежду, которая сохраняет тепло и комфорт.
- Эластичность изделия дает вам полный диапазон движений, делая эту толстовку идеальной для любых активностей на открытом воздухе.
- Логотип на груди придает современный спортивный вид и подчеркивает ваш выбор в пользу качественного бренда.
- Лаконичный дизайн с передней молнией предлагает классический стиль, который легко сочетается с другими элементами вашего гардероба.
- Защитная вставка на груди добавляет элемент стиля и функциональности, обеспечивая дополнительную защиту от ветра.</t>
  </si>
  <si>
    <t>1389352-110</t>
  </si>
  <si>
    <t>1389352-498</t>
  </si>
  <si>
    <t>1389352-709</t>
  </si>
  <si>
    <t>1389352-919</t>
  </si>
  <si>
    <t>1389354-390</t>
  </si>
  <si>
    <t>1389356-001</t>
  </si>
  <si>
    <t>1389356-391</t>
  </si>
  <si>
    <t>UA Run 96 Jacket</t>
  </si>
  <si>
    <t>1389567-114</t>
  </si>
  <si>
    <t>Коллекция Run 96 вдохновлена 1996 годом — годом основания Under Armour. Благодаря передовым технологиям и ретро-дизайну, эти вещи станут незаменимыми для бегунов любого уровня.
Технология UA Storm отталкивает воду, не жертвуя воздухопроницаемостью
Матовая ткань рипстоп лёгкая и чрезвычайно прочная
Внутренняя сетчатая подкладка обеспечивает дополнительную вентиляцию и комфорт
Вентиляционный разрез сзади с контрастной окантовкой
Надёжные карманы с застёжкой-молнией
Шнуровка-банджи по низу изделия для индивидуальной посадки и надёжной фиксации
Петля-банджи внутри воротника для удобного хранения
Обработка водоотталкивающим составом без использования фтора</t>
  </si>
  <si>
    <t>PJT RCK ICON FLEECE HDY</t>
  </si>
  <si>
    <t>1389916-100</t>
  </si>
  <si>
    <t>Тренировочная экипировка Project Rock создана, чтобы помогать вам находить границы возможного — и затем преодолевать их. Этот худи из флиса невероятно мягкий, имеет оптимальный уровень тепла и обеспечивает комфорт, держа вас всегда в готовности.
Исключительно мягкий флис средней плотности из смеси хлопка с начёсом внутри для дополнительного тепла
Передний карман-кенгуру
Манжеты и нижняя кромка из трикотажной резинки</t>
  </si>
  <si>
    <t>PJT RCK WARMUP JKT</t>
  </si>
  <si>
    <t>1389931-001</t>
  </si>
  <si>
    <t>Спортивная одежда Project Rock создана, чтобы помочь тебе находить свои пределы и преодолевать их. Этот жакет для разминки изготовлен из прочного материала, который выдержит даже самых усердных спортсменов в зале.
- Технология UA Storm отталкивает воду, не снижая воздухопроницаемости  
- Легкий тканый материал — сверхпрочный и комфортный  
- Ветрозащитные материалы и конструкция защищают от непогоды  
- Воротник в стиле автогонок с застёжками на кнопках и внутренней трикотажной вставкой для комфорта  
- Открытые карманы для рук  
- Манжеты и нижний край с резинкой</t>
  </si>
  <si>
    <t>PJT RCK SL HD</t>
  </si>
  <si>
    <t>1389947-989</t>
  </si>
  <si>
    <t>Сверхмягкая ткань из хлопковой смеси, обеспечивающая комфорт в течение всего дня
Передний карман-кенгуру
Спущенные широкие плечи для максимальной свободы движений
Покрой с заниженной линией талии и фигурным подолом для дополнительного покрытия</t>
  </si>
  <si>
    <t>PJT RCK WIRE SL HD</t>
  </si>
  <si>
    <t>1389986-362</t>
  </si>
  <si>
    <t>Созданная с одобрения Дуэйна «The Rock» Джонсона, эта модель из коллекции Project Rock разработана для тех, кто не оставляет ничего на удачу и отдаёт 100 % усилий на каждой тренировке.
Исключительно мягкая хлопковая ткань обеспечивает абсолютный комфорт в течение всего дня, а дизайн без рукавов и пониженные проймы обеспечивают полную свободу движений даже при выполнении самых сложных упражнений.
Капюшон добавляет стильный и функциональный элемент, а передний карман-кенгуру обеспечивает удобное место для хранения мелких предметов.
Пониженный и облегающий крой усиливает защиту и создаёт спортивный внешний вид — как в спортзале, так и вне его.
В этой футболке Under Armour любое помещение становится твоим личным пространством силы.</t>
  </si>
  <si>
    <t>PJT RCK SNAKE SL HD</t>
  </si>
  <si>
    <t>1389987-310</t>
  </si>
  <si>
    <t>UA Rival Terry Logo Crew Q2</t>
  </si>
  <si>
    <t>1390140-410</t>
  </si>
  <si>
    <t>Толстовка Under Armour — идеальный выбор для мужчин, которые ценят комфорт и спортивный дизайн одежды высокого качества.
Толстовка для мужчин от Under Armour
Быстросохнущая хлопковая ткань
Синтетическая добавка для оптимальной эластичности
Низ и рукава оформлены резинками
Подходит как для повседневной носки, так и во время физических нагрузок</t>
  </si>
  <si>
    <t>UA Rival Wvn Windbreaker</t>
  </si>
  <si>
    <t>1390149-390</t>
  </si>
  <si>
    <t>Есть причины, по которым ветровки остаются незаменимым элементом гардероба каждого спортсмена. Они лёгкие, защищают от ветра, не перегревая тело, и созданы для свободы движений.
Технология UA Storm отталкивает воду, не снижая воздухопроницаемости
Гладкая ткань — лёгкая и исключительно прочная
Ветрозащитная конструкция защищает от непогоды
Полностью сетчатая подкладка для дополнительной вентиляции
Надёжные карманы с zip-замком
Вшитые эластичные манжеты</t>
  </si>
  <si>
    <t>1390149-410</t>
  </si>
  <si>
    <t>1390154-001</t>
  </si>
  <si>
    <t>1390154-410</t>
  </si>
  <si>
    <t>UA Best Track Jacket</t>
  </si>
  <si>
    <t>1390287-001</t>
  </si>
  <si>
    <t>Текстурированная тканая ткань легкая и прочная. Технология UA Storm® отталкивает воду без ущерба для воздухопроницаемости. Тканый материал с фактурой "кринкл" легкий и прочный. Надежные карманы для рук с застежками. Эластичные манжеты и нижняя часть подола.</t>
  </si>
  <si>
    <t>1390298-390</t>
  </si>
  <si>
    <t>UA Stretch Wvn WindbreakerEU</t>
  </si>
  <si>
    <t>6003001-025</t>
  </si>
  <si>
    <t>Технология UA Storm отталкивает воду, не жертвуя воздухопроницаемостью
Ветроустойчивые материалы и конструкция защитят вас от непогоды
Легкий эластичный тканый материал обеспечивает превосходную подвижность и долговечность
Просторный трехпанельный капюшон с регулировкой на резинке
Надежные карманы для рук на молнии
Открытая эластичная окантовка на манжетах помогает удерживать рукава на месте
Использует водоотталкивающую обработку без фтора.</t>
  </si>
  <si>
    <t>6003001-289</t>
  </si>
  <si>
    <t>UA Vibe Woven Jacket</t>
  </si>
  <si>
    <t>6003001-338</t>
  </si>
  <si>
    <t>UA Unstoppable Non-Hood FZ</t>
  </si>
  <si>
    <t>6003087-001</t>
  </si>
  <si>
    <t>Если вы ищете куртку, в которой можно тренироваться в холодные и дождливые дни — вы её нашли. Сверхлегкая и эластичная, дождь скатывается с неё, и она согревает, но не перегревает.
Технология UA Storm отталкивает воду, не жертвуя воздухопроницаемостью.
Ткань UA Microthread сохнет быстрее, не прилипает к телу, не натирает и растягивается, не впитывая пот.
Ткань Performance Knit обеспечивает комфорт и эластичность трикотажа с внешним видом и структурой ткани плетения.
Материал отводит пот и быстро сохнет.
UPF 50 защищает кожу от вредного воздействия солнечных лучей.
Надёжные карманы на молнии, формованные манжеты и низ изделия.
Использует водоотталкивающую обработку без фтора.
Технология контроля запаха минимизирует появление неприятного запаха.</t>
  </si>
  <si>
    <t>6003087-299</t>
  </si>
  <si>
    <t>6003978-320</t>
  </si>
  <si>
    <t>Это идеальная тренировочная куртка, которая поможет держать мышцы в тонусе — для любого вида спорта или тренировки. Она лёгкая, водоотталкивающая и легко носится как дополнительный слой или компактно складывается, когда вы в самом разгаре активности.
Технология UA Storm отталкивает воду, не снижая воздухопроницаемости
Тканое полотно с равномерной морщинистой текстурой — лёгкое и прочное
Надёжные карманы на молнии для рук
Эластичные манжеты и низ куртки с внутренней резинкой для плотной посадки
Двусторонняя молния спереди</t>
  </si>
  <si>
    <t>UA M Challenger Training QZ</t>
  </si>
  <si>
    <t>6004043-001</t>
  </si>
  <si>
    <t>В коллекции UA Challenger вы найдете всю необходимую футбольную экипировку. Этот джемпер с молнией на четверть длины создан для того, чтобы вы чувствовали себя легко и быстро на поле.
Детали:
Текстурированная трикотажная ткань легкая, прочная и дышащая.
Материал отводит пот и очень быстро сохнет.
Застежка-молния на четверть длины позволяет легко надевать одежду поверх другой одежды.
Встроенные отверстия для больших пальцев помогают удерживать рукава на месте.</t>
  </si>
  <si>
    <t>6004043-100</t>
  </si>
  <si>
    <t>UA Rival Woven Jkt HD</t>
  </si>
  <si>
    <t>6004849-425</t>
  </si>
  <si>
    <t>6004979-690</t>
  </si>
  <si>
    <t>6004979-870</t>
  </si>
  <si>
    <t>Pjt Rck Q3PO SL Hoodie</t>
  </si>
  <si>
    <t>6005048-044</t>
  </si>
  <si>
    <t>Худи Under Armour Pjt Rck Q3PO SL Hoodie  — это мужская тренировочная майка-худи без рукавов из линейки Project Rock, созданная для интенсивных занятий спортом, особенно силовых тренировок, чтобы обеспечить свободу движений и комфорт, отводя влагу, а стильный дизайн с элементами бренда Рока (The Rock) делает её модной и функциональной одеждой для зала и повседневной жизни.</t>
  </si>
  <si>
    <t>UA Drive Pro Hybrid HZ</t>
  </si>
  <si>
    <t>6005666-010</t>
  </si>
  <si>
    <t>UA BCL Storm Hooded Jkt</t>
  </si>
  <si>
    <t>6005900-001</t>
  </si>
  <si>
    <t>Ветровка Under Armour® Storm UA Vanish -Современная защита от ветра и лёгкой влаги — без компромиссов в комфорте и стиле.
Ветровка Under Armour Storm UA Vanish создана для тех, кто ценит функциональность, лёгкость и безупречный спортивный стиль. Благодаря инновационной технологии UA Storm, ткань эффективно отталкивает влагу и ветер, сохраняя при этом отличную воздухопроницаемость — вы остаётесь сухими и комфортными даже при переменчивой погоде. Ключевые особенности: Технология UA Storm — водо- и ветроотталкивающая пропитка. Лёгкий, компактный крой — не стесняет движений, удобна в переноске (складывается в собственный карман). Полностью регулируемый капюшон — плотная посадка, защита от ветра✔️ Молния с защитной планкой — предотвращает натирание шеи. Два боковых кармана на молнии — безопасное хранение мелких вещей. Эластичные манжеты и подол с кулиской — надёжная фиксация и защита от сквозняков. Материал: 100% полиэстер (лёгкий, прочный, быстросохнущий).
Идеальна для бега, тренировок на улице, повседневной носки или как компактный слой в путешествиях. Чёрный цвет обеспечивает универсальность — легко сочетается с любой спортивной или casual-одеждой.</t>
  </si>
  <si>
    <t>6005900-025</t>
  </si>
  <si>
    <t>6005900-712</t>
  </si>
  <si>
    <t>Pjt Rock Icon Hdy</t>
  </si>
  <si>
    <t>6006245-651</t>
  </si>
  <si>
    <t>Тренировочная экипировка Project Rock создана, чтобы помочь вам найти свои пределы — и тут же смело преодолеть их. Это худи из флиса невероятно мягкое и обеспечивает оптимальное тепло, позволяя чувствовать себя комфортно и оставаться в полной готовности в любое время.
Сверхмягкий флис средней плотности из хлопкового микса с начёсом внутри для дополнительного тепла.
Передний карман-кенгуру.
Ребристые манжеты и нижний край.</t>
  </si>
  <si>
    <t>UA Icon Flc Graphic Top</t>
  </si>
  <si>
    <t>6007591-011</t>
  </si>
  <si>
    <t>Мужской худи Under Armour Icon Fleece Graphic изготовлен из исключительно мягкой флисовой ткани для дополнительного тепла и имеет опущенные плечи для свободного, оверсайз-кроя. Манжеты и нижний край выполнены из риб-трикотажа, обеспечивая плотную посадку. Флис средней плотности, невероятно мягкий, с хлопковым смесовым составом и ворсистой внутренней поверхностью для дополнительного утепления.
Передний карман «кенгуру»
Риб-манжеты и нижний край
Свободный крой</t>
  </si>
  <si>
    <t>6009316-425</t>
  </si>
  <si>
    <t>UA Rival LW Crew</t>
  </si>
  <si>
    <t>6009347-001</t>
  </si>
  <si>
    <t>Эта легкая французская махровая ткань на ощупь напоминает флис, но не создает ощущения излишнего тепла, характерного для ворсистого флиса. Это делает ее идеальной для прохладных летних ночей или утренних тренировок.
Детали:
Легкий французский махровый трикотаж имеет гладкую внешнюю поверхность и теплую, мягкую внутреннюю часть.
Материал отводит пот и очень быстро сохнет.
Ребристый воротник, манжеты и нижний край.
Спущенный низ на плечах для свободной, непринужденной посадки.</t>
  </si>
  <si>
    <t>6009347-299</t>
  </si>
  <si>
    <t>UA Rival Fleece Nov Hoodie</t>
  </si>
  <si>
    <t>6009353-410</t>
  </si>
  <si>
    <t>Эта толстовка согреет вас и подготовит практически к любым занятиям — она лёгкая, удобная и невероятно мягкая с внутренней стороны.
Ультрамягкий флис из хлопковой смеси с начёсом внутри для дополнительного тепла
Передний карман-«кенгуру»
Рифлёные манжеты и нижний край изделия</t>
  </si>
  <si>
    <t>Unstoppable Airvent Jkt</t>
  </si>
  <si>
    <t>6009365-001</t>
  </si>
  <si>
    <t>UA Icon Woven Track FZ</t>
  </si>
  <si>
    <t>6009436-001</t>
  </si>
  <si>
    <t>Это идеальная спортивная куртка для поддержания мышц в тонусе — для любых видов спорта и тренировок. Она лёгкая, водостойкая и удобна для многослойной носки или компактной упаковки, когда вы переходите к активным действиям.
Технология UA Storm отталкивает воду, не жертвуя воздухопроницаемостью
Тканая основа с текстурой «кринкл» по всей поверхности: лёгкая и прочная
Надёжные боковые карманы на молнии
Эластичные манжеты и нижний край с укреплённой окантовкой для надёжной посадки</t>
  </si>
  <si>
    <t>UA Rival Woven Ruched Vest</t>
  </si>
  <si>
    <t>6009679-001</t>
  </si>
  <si>
    <t>Это идеальный жилет для разминки, который поможет сохранить ваши мышцы готовыми к любому виду спорта или тренировке. Он лёгкий, водонепроницаемый, отлично подходит для многослойной экипировки и легко убирается, когда вы готовы перейти к серьёзным нагрузкам. Технология UA Storm обеспечивает водонепроницаемость без ущерба для воздухопроницаемости. Лёгкая эластичная ткань дарит полную свободу движений и высокую износостойкость.
Основные особенности:
Материал: 100% полиэстер
Технология UA Storm: водонепроницаемая защита без ограничения воздухопроницаемости
Лёгкая эластичная ткань обеспечивает абсолютную свободу движений и высокую прочность
Ткань с 4-сторонней растяжкой для максимальной мобильности в любом направлении
Открытые боковые карманы
Эластичный низ с кулиской и шнурком для регулировки посадки
Декоративная кулиска для дополнительного стиля
Водонепроницаемое покрытие без использования фтора
Свободный крой для максимального комфорта</t>
  </si>
  <si>
    <t>6009679-100</t>
  </si>
  <si>
    <t>Sport Terry Trend Hoodie</t>
  </si>
  <si>
    <t>6009705-100</t>
  </si>
  <si>
    <t>Этот лёгкий французский терри обладает мягкой фактурой флиса, но без излишнего тепла начёсанного материала. Благодаря этому он идеально подходит для прохладных летних вечеров или утренних тренировок.
Лёгкая ткань французского терри обеспечивает превосходный комфорт и воздухопроницаемость
Ткань с растяжением в 4 направлениях обеспечивает свободу движений в любом направлении
Оригинальные рукава с объёмной деталью «пафф», рифлёные манжеты и нижний край изделия
Спущенная линия плеча для свободного кроя и расслабленного ощущения</t>
  </si>
  <si>
    <t>6009705-338</t>
  </si>
  <si>
    <t>UA Drive Pro Hybrid Vest</t>
  </si>
  <si>
    <t>6009747-001</t>
  </si>
  <si>
    <t>6009747-410</t>
  </si>
  <si>
    <t>UA Drive Lightweight 1/2 Zip</t>
  </si>
  <si>
    <t>6009748-001</t>
  </si>
  <si>
    <t>Этот слой для гольфа обеспечивает дополнительное тепло без лишнего веса и объёма.
Технология UA Storm отталкивает воду, не жертвуя воздухопроницаемостью
Лёгкая ткань с мягким начёсом и инженерным жаккардовым узором для превосходной воздухопроницаемости и динамичного вида
Ткань с растяжением в 4 направлениях обеспечивает свободу движений в любом направлении
Передняя молния на ½ длины для удобной многослойной носки, дополненная современным спортивным воротником-стойкой
Усовершенствованный крой для неограниченной амплитуды свинга и повышенного комфорта
Силиконовый логотип на рукаве и тканая бирка-держатель для ти на боковом шве
Используется водоотталкивающая пропитка без содержания фтора</t>
  </si>
  <si>
    <t>94% полиэстер, 6% эластан</t>
  </si>
  <si>
    <t>UA T2G 1/4 Zip</t>
  </si>
  <si>
    <t>6010129-001</t>
  </si>
  <si>
    <t>Создано для сверхкомфортной посадки и ощущений, при этом обеспечивает отведение влаги, защиту от перегрева и высокую производительность.
Особенности:
Мягкая ткань с защитой от катышков и зацепок, чрезвычайно воздухопроницаемая и легкая
Материал с растяжкой в 4 направлениях обеспечивает свободу движений в любом направлении
Материал отводит влагу и очень быстро сохнет
Застежка-молния на ¼ длины обеспечивает удобство при многослойной носке
Технология контроля запаха минимизирует появление неприятных ароматов</t>
  </si>
  <si>
    <t>Luna Wvn FZ</t>
  </si>
  <si>
    <t>6010350-110</t>
  </si>
  <si>
    <t>Всегда на высоте — эта куртка на молнии выполнена из нашей самой технологичной плетёной ткани, которая отталкивает воду, растягивается, когда это нужно, и обладает невероятной прочностью. Поэтому, выходя на улицу, вы можете делать это с уверенностью.
Основные особенности:
Технология UA Storm: отталкивает воду без ущерба для воздухопроницаемости
Стретч-ткань плотного плетения: лёгкая, прочная и движется вместе с вами
Надёжные карманы для рук на молнии
Регулируемый шнурок по нижнему краю и эластичные манжеты в кулиске для надёжной посадки
Спущенная линия плеча и удлинённый задний край для стильного силуэта</t>
  </si>
  <si>
    <t>6010350-230</t>
  </si>
  <si>
    <t>UA BCL 1/4 Zip</t>
  </si>
  <si>
    <t>6010887-001</t>
  </si>
  <si>
    <t>Длинные дистанции и скоростные забеги начинаются с невероятного комфорта, идеальной эластичности и ощущения легкости. Именно это вы получаете с UA BCL. По сути, возникает полное ощущение, будто на вас вообще ничего нет.
Детали:
Сверхмягкая, легкая ткань с обновленным жаккардовым узором и добавлением эластичных волокон для улучшенной воздухопроницаемости и циркуляции воздуха.
Материал отводит пот и очень быстро сохнет.
Эластичная ткань, растягивающаяся в 4 направлениях, обеспечивает лучшую свободу движений.
Обновленный, более свободный крой с более высоким воротником для большего комфорта и защиты от посторонних взглядов.
Застежка-молния на четверть длины позволяет легко надевать несколько слоев одежды.
Боковой разрез по низу.
Технология контроля запаха минимизирует его появление.</t>
  </si>
  <si>
    <t>UA MatchPlay 1/4 Zip</t>
  </si>
  <si>
    <t>6010892-001</t>
  </si>
  <si>
    <t>Универсальный средний слой, разработанный для обеспечения комфорта и свободы движений на поле для гольфа. Изготовлен из мягкой, дышащей ткани с добавлением эластичных волокон — поддерживает плавный, ничем не скованный свинг и помогает регулировать температуру тела на протяжении всей игры.
Идеально подходит для многослойной экипировки в прохладную погоду: эта модель с четверть-молнией сочетает надёжную функциональность с лаконичным современным дизайном, который уместен как на поле, так и в повседневной носке.
Ключевые особенности:
🔹 Мягкая двойная вязка (Double Knit) — обеспечивает приятные тактильные ощущения при контакте с кожей, оставаясь воздухопроницаемой: сохраняет тепло, не допуская перегрева во время игры
🔹 Встроенная эластичность для свободы движений — гибкий материал естественно повторяет движения тела, обеспечивая полную амплитуду при свинге и комфорт при ходьбе между ударами
🔹 Дизайн с четверть-молнией спереди — упрощает многослойную экипировку и позволяет регулировать вентиляцию при изменении погодных условий, сохраняя комфорт от первого ти до последнего лунки
🔹 Технология контроля запаха — помогает минимизировать появление неприятных запахов во время длительных раундов или тренировочных сессий, обеспечивая ощущение свежести на протяжении всего дня</t>
  </si>
  <si>
    <t>71% полиэстер, 29% эластан</t>
  </si>
  <si>
    <t>SU Mesh Bomber</t>
  </si>
  <si>
    <t>6010983-001</t>
  </si>
  <si>
    <t>Эта мужская куртка-бомбер создана с упором на функциональность. Она изготовлена из легкой, прочной тканой и дышащей сетчатой ткани. Кроме того, имеет надежные карманы для хранения вещей.
Детали:
Внешняя сторона из сетчатого материала с принтом и легкая тканая внутренняя подкладка обеспечивают комфорт и долговечность.
Надежные боковые карманы на кнопках и карман на молнии на левом рукаве.
Ребристый воротник, манжеты и нижний край.</t>
  </si>
  <si>
    <t>95% нейлон, 5% эластан</t>
  </si>
  <si>
    <t>UA Tech Sport Woven Jkt</t>
  </si>
  <si>
    <t>6011267-025</t>
  </si>
  <si>
    <t>6011267-408</t>
  </si>
  <si>
    <t>Лёгкая и дышащая ветровка, разработанная для любых тренировочных сессий и повседневных активностей. Комфортная, гибкая и износостойкая — она обеспечивает максимальную свободу движений, одновременно создавая современный спортивный образ.
Детали:
🔹 Ультралёгкая ткань с приятной текстурой — комфортна в носке в течение всего дня
🔹 Воздухопроницаемый материал — помогает сохранять ощущение комфорта даже во время интенсивных нагрузок
🔹 Эластичная тканая основа — обеспечивает оптимальную свободу движений в любом направлении
🔹 Защищённые карманы на молнии — надёжное хранение самых необходимых вещей
🔹 Эластичные манжеты и нижняя кромка — обеспечивают плотную, но комфортную посадку и не стесняют движений
🔹 Удобный современный крой — универсальный дизайн, подходящий как для спорта, так и для повседневного стиля (Sport &amp; Lifestyle)
🔹 Рельефный логотип Under Armour — премиальная отделка, подчёркивающая качество исполнения</t>
  </si>
  <si>
    <t>UA Drive 1/2 Zip</t>
  </si>
  <si>
    <t>6011279-001</t>
  </si>
  <si>
    <t>Этот слой для гольфа обеспечивает дополнительное тепло без лишнего веса и объема.
Особенности:
Технология UA Storm отталкивает влагу, не жертвуя воздухопроницаемостью
Легкая ткань с начесом и инженерной жаккардовой текстурой для превосходной воздухопроницаемости и динамичного внешнего вида
Плетеная эластичная ткань на плечах, рукавах и воротнике для повышенной износостойкости и защиты
Материал с растяжкой в 4 направлениях обеспечивает свободу движений в любом направлении
Удлиненная планка с молнией на ½ длины обеспечивает удобство при многослойной носке
Манжеты на резинке в кулиске
Стильные детали из канта
Используется водоотталкивающая пропитка без фтора</t>
  </si>
  <si>
    <t>Rival Fleece Script HZ</t>
  </si>
  <si>
    <t>6012292-011</t>
  </si>
  <si>
    <t>Комфортный женский джемпер Under Armour Rival Fleece Script HZ выполнен из мягкого флисового материала с приятной на ощупь внутренней поверхностью, который обеспечивает тепло и уют в прохладную погоду. Модель с высоким воротником и короткой молнией позволяет легко регулировать уровень комфорта, а свободный крой не сковывает движения.
Особенности:
Мягкий флисовый материал с начесом внутри.
Высокий воротник на молнии 1/2 Zip.
Свободный комфортный крой.
Эластичные манжеты и нижний край.
Подходит для тренировок, прогулок и повседневной носки.</t>
  </si>
  <si>
    <t>6012335-001</t>
  </si>
  <si>
    <t>6012335-299</t>
  </si>
  <si>
    <t>6012335-498</t>
  </si>
  <si>
    <t>6014621-466</t>
  </si>
  <si>
    <t>6014621-498</t>
  </si>
  <si>
    <t>UA Rival LW Graphic Hoodie</t>
  </si>
  <si>
    <t>6014686-338</t>
  </si>
  <si>
    <t>Этот лёгкий трикотаж с изнанкой «фрэнч терри» мягкий, как флис, но не создает ощущения излишнего тепла, характерного для ворсистого флиса. Поэтому он идеально подходит для прохладных летних ночей или утренних тренировок.</t>
  </si>
  <si>
    <t>UA UTILITY LS</t>
  </si>
  <si>
    <t>1367967-390</t>
  </si>
  <si>
    <t>Лонгслив</t>
  </si>
  <si>
    <t>Футболки и майки</t>
  </si>
  <si>
    <t>Двухслойная ткань с очень теплой матовой внутренней частью и гладкой, быстро сохнущей внешней стороной. Вставки из эластичной сетки на спине и подмышках обеспечивают стратегическую вентиляцию без ущерба для тепла. Материал отводит пот и очень быстро сохнет. Технология защиты от запаха предотвращает рост вызывающих запах микробов. Эргономичный дизайн защищает от швов на участках с высокой степенью истирания.</t>
  </si>
  <si>
    <t>FCSP Auth Jsy-BLK</t>
  </si>
  <si>
    <t>1330016-004</t>
  </si>
  <si>
    <t>Футболка</t>
  </si>
  <si>
    <t>Сверхмягкая ткань из смесового хлопка обеспечивает комфорт на весь день.
Воротник в рубчик.</t>
  </si>
  <si>
    <t>90% полиэстер 10% эластан</t>
  </si>
  <si>
    <t>UA G BLOCK LOGO OS SS</t>
  </si>
  <si>
    <t>6009720-100</t>
  </si>
  <si>
    <t>Все шьют футболки... но Under Armour делает их лучше. Эта модель обладает мягкой текстурой и свободным кроем для комфорта в течение всего дня.
Особенности:
Сверхмягкая ткань из хлопковой смеси обеспечивает комфорт в течение всего дня
Воротник с резинкой
Спущенная линия плеча для свободного, объемного кроя и ощущений</t>
  </si>
  <si>
    <t>6009720-520</t>
  </si>
  <si>
    <t>UA B HOOPS Triple Logo SS</t>
  </si>
  <si>
    <t>6012660-100</t>
  </si>
  <si>
    <t>Все шьют футболки с принтами... но Under Armour делает их лучше. Ткань, которую мы используем, легкая, мягкая и быстросохнущая. Эта футболка украшена баскетбольным логотипом, чтобы вы могли продемонстрировать свою любовь к игре.
Особенности:
Сверхмягкая ткань из хлопковой смеси обеспечивает комфорт в течение всего дня
Воротник с резинкой</t>
  </si>
  <si>
    <t>UA PJT RCK SS BOH</t>
  </si>
  <si>
    <t>1386890-505</t>
  </si>
  <si>
    <t>Футболка Under Armour UA PJT RCK SS BOH — это сочетание стиля, удобства и высоких технологий для повседневной носки и активного образа жизни. Благодаря сочетанию материалов — хлопка, полиэстера и эластана — эта футболка обеспечивает мягкость, прочность и легкую эластичность, сохраняя свою форму и комфорт в течение всего дня. Свободный крой дарит ощущение свободы, позволяя двигаться без ограничений. Футболка прекрасно сочетает стиль с функциональностью, делая её идеальной как для тренировок, так и для повседневного ношения. Современный дизайн и качественная ткань делают её незаменимой частью вашего гардероба.</t>
  </si>
  <si>
    <t>57% хлопок, 38% полиэстер, 5% эластан</t>
  </si>
  <si>
    <t>UA Playoff Jacquard Polo</t>
  </si>
  <si>
    <t>1389846-709</t>
  </si>
  <si>
    <t>Поло</t>
  </si>
  <si>
    <t>Мягкая ткань с жаккардовой текстурой, устойчивая к выщипыванию и образованию катышков, чрезвычайно дышащая и легкая.
Материал отводит пот и очень быстро высыхает.
Материал, растягивающийся в 4 стороны, лучше тянется во всех направлениях.
UPF 50+ защищает вашу кожу от вредных солнечных лучей.
Планка с тремя пуговицами.
Боковой разрез по низу.</t>
  </si>
  <si>
    <t>93% полиэстер, 7% эластан</t>
  </si>
  <si>
    <t>Infinity High Strappy</t>
  </si>
  <si>
    <t>1389827-001</t>
  </si>
  <si>
    <t>Бра</t>
  </si>
  <si>
    <t>Спортивный бюстгальтер UA Infinity Bra создан для неограниченной поддержки благодаря уникальной технологии, которая подстраивается под каждое ваше движение, и сверхлёгкой полой пеноматериальной подкладке.
• Обеспечивает целенаправленную поддержку, разработанную специально для активных нагрузок: бега, игровых видов спорта в зале и на поле
• Новая литая чашка со стратегически продуманным рисунком для более аэродинамичной посадки и ощущения лёгкости
• Сетчатая панель спереди для улучшенной воздухопроницаемости
• Гладкая, влагоотводящая лента с удобной застёжкой на крючки для лёгкого надевания и снятия
• Регулируемые бретели спереди и перекрёстный дизайн спинки из сетчатых ремешков
• Материал отводит влагу и очень быстро сохнет
• Технология контроля запаха минимизирует появление неприятных ароматов</t>
  </si>
  <si>
    <t>XS A-C</t>
  </si>
  <si>
    <t>40-42 A-C</t>
  </si>
  <si>
    <t>Pjt Rck Graphic SS 2</t>
  </si>
  <si>
    <t>6005083-279</t>
  </si>
  <si>
    <t>Тренировочная экипировка Project Rock создана для самых трудолюбивых людей в комнате. Эта футболка с принтом обеспечивает комфорт, быстро сохнет и заявляет о себе графикой в стиле outdoor.
• Сверхмягкая ткань из хлопковой смеси обеспечивает комфорт в течение всего дня
• Вязаный ребристый воротник</t>
  </si>
  <si>
    <t>PERFORMANCE COTTON UNDERSHIRT - SOLID FITTED CREW NECK 2PK</t>
  </si>
  <si>
    <t>6007621-001</t>
  </si>
  <si>
    <t>Футболка (2 шт)</t>
  </si>
  <si>
    <t>Футболка Under Armour UA Performance Cotton Crew Neck  является частью базовой линейки мужских хлопковых футболок , которые  продаются в наборе из двух штук. Предназначена для повседневной носки, а также может использоваться как базовый слой или одежда для легких тренировок благодаря комфортному материалу. Высококачественный смесовый хлопок, который обеспечивает мягкость, комфорт и воздухопроницаемость. Классический крой с круглым вырезом (crew neck) для свободы движений.Ткань очень мягкая и приятная к телу.  Стандартная посадка (Regular Fit) , облегающий крой (Fitted).
Эта футболка сочетает в себе классический стиль с функциональностью Under Armour, обеспечивая долговечность и комфорт в течение всего дня. Белый цвет делает ее универсальным элементом гардероба.</t>
  </si>
  <si>
    <t>57% хлопок, 38% полиэстер, 5% спандекс</t>
  </si>
  <si>
    <t>6007621-100</t>
  </si>
  <si>
    <t>Motion SS</t>
  </si>
  <si>
    <t>1379178-538</t>
  </si>
  <si>
    <t>Футболка Under Armour Motion SS сочетает стиль и функциональность для активной жизни. Изготавливаемая из 82% полиэстера и 18% эластана, эта футболка обеспечивает удобство и производительность. Легкая и эластичная ткань позволяет свободно двигаться, не испытывая ограничений, что важно для динамичных занятий.
- Материал UA Charged Cotton® дарит комфорт натурального хлопка, сохнет быстрее, поддерживая сухость даже при интенсивных тренировках.
- Продуманный крой подчеркивает фигуру и добавляет динамичный стиль, который подходит для разных ситуаций.
- Эффективное управление влагой сохраняет свежесть, помогая сконцентрироваться на достижении спортивных целей.
- Каждый элемент — от воротника до швов — разработан для усиления комфорта и уверенности в движениях.
- Это идеальный союзник в стремлении к совершенству, объединяя производительность и стиль в вашем гардеробе.</t>
  </si>
  <si>
    <t>UA W VARSITY SS</t>
  </si>
  <si>
    <t>6010592-025</t>
  </si>
  <si>
    <t>Все производят футболки с принтами... но Under Armour делает их лучше. Мы используем легкую, мягкую и быстросохнущую ткань. Эта футболка украшена графическими элементами в университетском стиле.
Детали:
Сверхмягкая ткань из смеси хлопка обеспечивает комфорт в течение всего дня.
Воротник в рубчик.</t>
  </si>
  <si>
    <t>UA Rival Boxy Tee Solid</t>
  </si>
  <si>
    <t>6011064-023</t>
  </si>
  <si>
    <t>Эта мягкая футболка из хлопковой смеси невероятно комфортна, со спущенной линией плеча и укороченной длиной для свободного, объемного силуэта и ощущений.
Особенности:
Сверхмягкая ткань из хлопковой смеси обеспечивает комфорт в течение всего дня
Материал с растяжкой в 4 направлениях обеспечивает свободу движений в любом направлении
Воротник с резинкой
Спущенная линия плеча для свободного, объемного кроя и ощущений
Укороченная длина изделия</t>
  </si>
  <si>
    <t>UA Tech Vent Jcqrd SS</t>
  </si>
  <si>
    <t>1390047-466</t>
  </si>
  <si>
    <t>UA Burnout 96 Tee</t>
  </si>
  <si>
    <t>6010952-008</t>
  </si>
  <si>
    <t>Все шьют футболки с принтами... но Under Armour делает их лучше. Ткань, которую мы используем, легкая, мягкая и быстросохнущая. Эта футболка выполнена с эффектом винтажного выгорания и имеет необработанный край по низу для дополнительного стиля.
Особенности:
Сверхмягкая ткань из хлопковой смеси с эффектом выгорания обеспечивает комфорт в течение всего дня
Необработанный край по низу изделия</t>
  </si>
  <si>
    <t>64% хлопок, 36% полиэстер</t>
  </si>
  <si>
    <t>UA Tech Tee Pixelate</t>
  </si>
  <si>
    <t>6005920-425</t>
  </si>
  <si>
    <t>UA GL FOUNDATION UPDATE SS</t>
  </si>
  <si>
    <t>1382915-289</t>
  </si>
  <si>
    <t>Футболка UA GL FOUNDATION UPDATE SS от Under Armour — это совершенная комбинация стиля и комфорта для активных людей. Футболка из 60% хлопка и 40% полиэстера обладает мягкостью, легкостью и долговечностью, делая её идеальной для спортивных или повседневных образов. Специальная обработка ткани сохраняет форму и цвет после многократных стирок, предлагая долговечность и надежное качество. Уход за изделием осуществляется деликатной или ручной стиркой.
- Уникальное сочетание хлопка и полиэстера обеспечивает мягкость и лёгкость, делая футболку комфортной для ежедневной носки и физических нагрузок.
- Ткань сохраняет форму и цвет, выдерживая многократные стирки, что гарантирует долговечность.
- Модный крой создаёт актуальный силуэт, подходящий для различных видов активности и отдыха.
- Логотип Under Armour на груди демонстрирует приверженность бренду и добавляет стилю уверенности.
- Универсальный дизайн позволяет сочетать футболку с любым гардеробом, от спортивного до повседневного.
- Антибактериальная обработка предотвращает появление неприятных запахов, поддерживая свежесть даже при интенсивной носке.</t>
  </si>
  <si>
    <t>Crossback Mid Bra</t>
  </si>
  <si>
    <t>1361034-656</t>
  </si>
  <si>
    <t>Топ Crossback Mid Bra от Under Armour создан с учетом потребностей современных женщин в комфорте и поддержке. Выполненный из 87% полиэстера и 13% эластана, он обеспечивает отличное влагоотведение и свободу движений, делая его идеальным для тренировок и активного отдыха. Дизайн, разработанный с учетом реальных отзывов женщин, сочетает функциональность и стиль, предлагая уникальное решение для тренировок.
- Материал эффективно отводит пот и быстро сохнет, поддерживая ощущение свежести и комфорта на протяжении всей тренировки.
- Растягивающаяся в четырех направлениях конструкция ткани обеспечивает свободу движений, позволяя сосредоточиться на максимальной эффективности занятий.
- Удобный крой и продуманная конструкция топа гарантируют надежную поддержку без ощущения дискомфорта.
- Мягкие и плотные лямки создают дополнительную стабильность и предотвращают соскальзывание во время активных движений.
- Идеален для занятий спортом средней интенсивности, таких как фитнес, йога и пилатес.</t>
  </si>
  <si>
    <t>UA Streaker SS</t>
  </si>
  <si>
    <t>1382434-731</t>
  </si>
  <si>
    <t>Женская футболка Under Armour Streaker SS – это воплощение инновационных технологий и стильного дизайна, созданная специально для активных женщин, которые ценят комфорт и производительность в каждой тренировке. Изготовленная из фирменного материала UA Microthread, эта футболка обеспечивает невероятную легкость и сверхбыстрое высыхание, что позволяет вам оставаться свежей и сконцентрированной даже при самых интенсивных нагрузках.
Футболка имеет облегающий крой, который подчеркивает фигуру и обеспечивает свободу движений без ощущения стеснения. Технология отведения влаги и антибактериальная пропитка позволяют бороться с неприятным запахом и поддерживать ощущение чистоты в течение всего времени ношения. Продуманный дизайн с сетчатыми вставками улучшает вентиляцию, обеспечивая дополнительный комфорт во время тренировок в жаркую погоду.
Эстетически привлекательный внешний вид достигается благодаря минималистичному дизайну и элегантному логотипу Under Armour на груди, который добавляет изысканности и стиля. Женская футболка Under Armour Streaker SS – это ваш надежный партнер для занятий спортом, будь то бег, фитнес или йога, обеспечивающий оптимальное сочетание функциональности и модного вида.</t>
  </si>
  <si>
    <t>94% полиэстер, 6% эластерелл</t>
  </si>
  <si>
    <t>1382915-402</t>
  </si>
  <si>
    <t>1361034-006</t>
  </si>
  <si>
    <t>Топы не должны быть сложными. Они должны быть комфортными и они должны оказывать поддержку. Поэтому мы сразу обратились к первоисточнику и спросили настоящих женщин, как сделать их любимый топ. Материал отводит пот и очень быстро сохнет. Растягивающаяся в четырех направлениях конструкция ткани.</t>
  </si>
  <si>
    <t>UA Authentics Mid Padless</t>
  </si>
  <si>
    <t>1373865-002</t>
  </si>
  <si>
    <t>Under Armour UA Authentics Mid Padless — это функциональный и стильный топ, идеально подходящий для активных тренировок и повседневного ношения. Этот топ выполнен из высококачественного, легкого и дышащего материала, который обеспечит максимальный комфорт и свободу движений. Благодаря технологии отвода влаги, он эффективно отводит пот, позволяя вашей коже оставаться сухой даже при интенсивных занятиях спортом. Минималистичный дизайн без лишних деталей и надежная посадка делают этот топ универсальным выбором для любой фитнес-активности. Люди, активно занимающиеся спортом, оценят продуманный крой и эластичность, которые позволяют топу идеально сидеть на теле и не стеснять движений. В дополнение, специальный антибактериальный слой предотвращает появление неприятного запаха, обеспечивая свежесть на длительное время.</t>
  </si>
  <si>
    <t>1382915-028</t>
  </si>
  <si>
    <t>60% хлопок, 40% полиэстер</t>
  </si>
  <si>
    <t>Tech SSV- Twist</t>
  </si>
  <si>
    <t>1384227-001</t>
  </si>
  <si>
    <t>Наша оригинальная ткань HeatGear® суперлёгкая, дышащая и быстро сохнет. Материал впитывает влагу и очень быстро высыхает.
Ткань UA Tech™ быстро сохнет, ультрамягкая и имеет более натуральное ощущение на ощупь.
Материал впитывает влагу и очень быстро высыхает.
V-образный вырез.
Меланжевый эффект.</t>
  </si>
  <si>
    <t>Tech Knockout Tank</t>
  </si>
  <si>
    <t>1389851-100</t>
  </si>
  <si>
    <t>Майка</t>
  </si>
  <si>
    <t>Это одна из самых легких и дышащих маек, которые производят Under Armour, — и она станет вашей любимой. Для любого вида спорта, любой тренировки, в любое время.
Невероятно мягкая, дышащая ткань
Материал, растягивающийся в 4 направлениях, обеспечивает лучшую свободу движений
Материал отводит пот и очень быстро сохнет
Классический дизайн с перекрещивающимися лямками и фирменной лентой
Технология контроля запаха минимизирует неприятный запах.</t>
  </si>
  <si>
    <t>UA SEAMLESS STRIDE SS</t>
  </si>
  <si>
    <t>1375692-009</t>
  </si>
  <si>
    <t>Откройте для себя производительность, переосмысленную с новой футболкой UA Seamless Stride SS от Under Armour. Эта инновационная спортивная футболка создана, чтобы обеспечить максимальный комфорт во время самых напряженных тренировок. Бесшовная конструкция - Говорите "нет" дискомфорту! С нашей эксклюзивной бесшовной технологией футболка UA Seamless Stride SS избавляет от лишних швов, предотвращая трение и раздражение кожи, даже во время самых интенсивных упражнений. 4-сторонняя растяжка – Футболка разработана с учетом необходимости свободы движений, обеспечивая исключительную гибкость и поддержку при каждом занятии. Влагоотводящий материал – Система Moisture Transport System быстро отводит влагу от тела, снижая перегрев и обеспечивая ощущение сухости и свежести на протяжении всей тренировки. Антимикробная обработка – Борьба с неприятными запахами благодаря антимикробной технологии, которая помогает поддерживать вашу одежду свежей дольше. Стиль и функциональность – Строгий, но стильный дизайн с нашим узнаваемым логотипом идеально дополнит ваш спортивный гардероб. Силуэт, подчеркивающий атлетическую фигуру, делает эту футболку идеальным выбором как для тренировок, так и для повседневной носки. UA Seamless Stride SS — не просто одежда, это высокотехнологичное оборудование, помогающее раскрыть ваш полный потенциал. Выбирайте интеллектуальную экипировку, выбирайте Under Armour для наилучших результатов в спорте и за его пределами.</t>
  </si>
  <si>
    <t>63% нейлон, 37% полиэстер</t>
  </si>
  <si>
    <t>UA Tech Vent VHS Jacquard SS</t>
  </si>
  <si>
    <t>6009732-001</t>
  </si>
  <si>
    <t>Идеальная футболка для самых жарких тренировок: свободная, легкая, с жаккардом по всей поверхности для максимальной воздухопроницаемости. 4-way stretch позволяет двигаться без ограничений и не сбавлять темп. Ультрадышащая трикотажная ткань очень легкая и комфортная, материал отводит пот и быстро сохнет. Вставка под мышкой улучшает подвижность, вентиляцию и помогает избежать натирания. Спущенный фигурный низ дает больше покрытия. Odor control минимизирует запах. Основная ткань изделия содержит минимум 90% переработанного полиэстера (без учета отделки и декоративных элементов).</t>
  </si>
  <si>
    <t>6009732-600</t>
  </si>
  <si>
    <t>HeatGear High</t>
  </si>
  <si>
    <t>6011152-008</t>
  </si>
  <si>
    <t>Компрессионный спортивный бюстгальтер Under Armour с технологией HeatGear®
Никакого двойного слоя. Никакого сдавливания. Никакого сползания. Только ощущение надёжной фиксации, гладкие регулируемые бретели, которые легко сдвигаются и фиксируются крючком, и влагоотводящая сила технологии HeatGear®. Это компрессионный топ, в котором вы действительно можете выкладываться на полную.
Ключевые особенности:
🔹 Стратегическая поддержка — специально разработан для видов активности с высокой нагрузкой: бег, игровые виды спорта в зале и на открытом поле
🔹 Гладкая мягкая спейсер-ткань спереди — обеспечивает поддержку и покрытие с эффектом компрессии, не создавая дискомфорта
🔹 Сетчатые вставки на спине и по бокам — гарантируют максимальную воздухопроницаемость и терморегуляцию во время интенсивных тренировок
🔹 Быстрая и удобная регулировка бретелей спереди — позволяет легко подобрать индивидуальную посадку под ваши потребности
🔹 Открытая спинка с вырезом-каплей — облегчает надевание и снятие; эластичная нижняя кромка невероятно гладкая и мягкая на ощупь
🔹 Тройной слой ткани спереди — обеспечивает надёжное покрытие без использования поролоновых вставок
🔹 Влагоотводящий материал с быстрым высыханием — эффективно отводит пот и быстро сохнет, сохраняя ощущение сухости
🔹 Материал с 4-сторонней эластичностью — свободно растягивается в любом направлении, повторяя каждое ваше движение</t>
  </si>
  <si>
    <t>UA BCL Pro Shortsleeve</t>
  </si>
  <si>
    <t>6009506-001</t>
  </si>
  <si>
    <t>90% нейлон, 10% эластан</t>
  </si>
  <si>
    <t>UA W SPORTSTYLE LOGO SS</t>
  </si>
  <si>
    <t>1356305-465</t>
  </si>
  <si>
    <t>Окутайте себя стилем и комфортом, который длится весь день, с футболкой Under Armour W Live Sportstyle Graphic SSC. Изысканно сконструирована для активных женщин, эта футболка станет вашим идеальным спутником, будь то напряженная тренировка или расслабленный выходной день. Элегантный дизайн: Подчеркнутая женственным принтом, эта футболка гармонирует с вашим активным образом жизни, выделяясь своим модным Sportstyle графиком и придавая стильный акцент вашему спортивному гардеробу. Инновационный комфорт: Ультрамягкая ткань мгновенно дарит ощущение лёгкости и мягкости, обеспечивая безупречный комфорт и уверенность на протяжении всего дня. Быстрое высыхание: Со встроенной технологией отвода влаги, ваше тело останется сухим даже в самый жаркий момент, делая любую активность более приятной и продуктивной. Отточенная посадка: Приталенный крой обеспечивает современный внешний вид без ущерба для комфорта и свободы движений – идеально для женщин, которые не готовы жертвовать стилем ради функциональности. Прочность и качество: Сочетание инновационных материалов и качественного исполнения гарантируют, что ваша футболка будет выглядеть как новая даже после многочисленных стирок и изнурительных тренировок. Универсальность: Футболка превосходно сочетается как с леггинсами и спортивными штанами для решительной утренней пробежки, так и с джинсами для неформальной встречи с друзьями. С Футболкой Under Armour W Live Sportstyle Graphic SSC вы не только чувствуете поддержку наивысшего класса, но и выглядите неотразимо, демонстрируя яркую индивидуальность и уверенный вкус. Идеальное сочетание стилевой изысканности и спортивного комфорта – в одной великолепной футболке.</t>
  </si>
  <si>
    <t>1361034-011</t>
  </si>
  <si>
    <t>Топы не должны быть сложными. Они должны быть комфортными и они должны оказывать поддержку. Поэтому мы сразу обратились к первоисточнику и спросили настоящих женщин, как сделать их любимый топ UA еще лучше. И это сработало. Создан для легкой активности и комфорта в течение всего дня. Обновленные съемные чашки с перфорацией для лучшей формы и воздухопроницаемости. Узкая резинка и ремни с логотипом. Сверхгладкая двухслойная ткань HeatGear обеспечивает превосходное ощущение прикосновения к коже. Материал отводит пот и очень быстро сохнет. Растягивающаяся в четырех направлениях конструкция ткани. Технология защиты от запаха предотвращает рост вызывающих запах микробов. Удалить подушечки перед стиркой.</t>
  </si>
  <si>
    <t>88% Полиэстер, 12% Эластан</t>
  </si>
  <si>
    <t>1361034-703</t>
  </si>
  <si>
    <t>1375692-100</t>
  </si>
  <si>
    <t>UA CGI LS AOP GOLF MOCK</t>
  </si>
  <si>
    <t>1366273-031</t>
  </si>
  <si>
    <t>Инфракрасный камуфляжный базовый слой ColdGear обеспечивает более плотную компрессионную посадку на коже. В инфракрасной технологии Under Armour ColdGear используется мягкое теплопроводящее внутреннее покрытие, которое поглощает и удерживает тепло тела. Эластичная в 4 направлениях двухслойная ткань с технологией Storm отталкивает воду, не жертвуя при этом воздухопроницаемостью, в то время как матовая внутренняя часть обеспечивает ощущение ультратепла, а также впитывает влагу и пот.</t>
  </si>
  <si>
    <t>UA ColdGear Infrared. Теплопроводящий внутренний слой для поглощения и сохранения тепла тела.;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 4-Way Srtetch. Легкий материал повышенной потности и эластичности.</t>
  </si>
  <si>
    <t>Осень/Зима</t>
  </si>
  <si>
    <t>QUALIFIER COLD LONGSLEEVE</t>
  </si>
  <si>
    <t>1379304-100</t>
  </si>
  <si>
    <t>Откройте для себя всесезонное совершенство с лонгсливом UA Qualifier Cold Longsleeve – мастерским творением от Under Armour, созданным для тех, кто никогда не останавливается перед холодом. Эта одежда обладает всеми необходимыми качествами для того, чтобы стать вашим незаменимым компаньоном в холодную погоду.
Технологическое тепло: Уникальное сочетание волокон и ткани с технологией ColdGear от Under Armour обеспечивает необходимое удержание тепла и быстрый отвод влаги от тела, поддерживая ваш комфорт даже в самые холодные дни.
Легкость и гибкость: Невероятно легкий и эластичный материал усиливает вашу подвижность и не сковывает движений во время бега, фитнеса или любых других видов активностей.
Бесшовная конструкция: Минимум швов в UA Qualifier Cold Longsleeve предотвращает натирание, обеспечивая комфорт на протяжении всего времени носки, что делает его идеальным для длительных тренировок и соревнований.
Влагоотводящая технология: Система влагоотвода от Under Armour поддерживает вас сухим, отводя пот от вашей кожи и ускоряя испарение, повышая общее ощущение комфорта.
Утонченный дизайн: Приталенный крой и стильные дизайнерские элементы делают UA Qualifier Cold Longsleeve стильным элементом спортивного гардероба, который хорошо выглядит как во время тренировок, так и в повседневной жизни.
Дышащие вставки: Стратегически размещенные дышащие панели улучшают воздухопроницаемость в ключевых зонах, обеспечивая дополнительный поток воздуха там, где это необходимо больше всего.
Долговечность и качество: Высококачественные материалы и надежная отделка гарантируют, что лонгслив UA Qualifier Cold Longsleeve выдержит испытание временем и интенсивными тренировками.
Добавьте в свою тренировочную рутину новую энергию с лонгсливом UA Qualifier Cold Longsleeve, который дарит уверенность в любую погоду и помогает оставаться сфокусированным только на вашей цели. Удивительное сочетание тепла, комфорта и стиля делает его непреодолимым выбором для атлетов, стремящихся преодолеть холод и выйти на новый уровень своих достижений.</t>
  </si>
  <si>
    <t>Vanish Seamless SS</t>
  </si>
  <si>
    <t>1382801-026</t>
  </si>
  <si>
    <t>Футболка Under Armour UA Vanish Seamless SS для мужчин создана для активных тренировок и комфорта в повседневной жизни. Изготовленная из нейлона и высококачественного полиэстера, эта футболка обеспечивает отличную вентиляцию и отвод влаги, помогая вам оставаться сухим даже в самых интенсивных занятиях. Бесшовная конструкция минимизирует риск натирания, а круглый ворот и короткие рукава обеспечивают классический и универсальный стиль. Идеально подходит для занятий спортом или для повседневного ношения, сочетает в себе технологии и стиль, обеспечивая максимальный комфорт и свободу движений.</t>
  </si>
  <si>
    <t>53% нейлон, 47% полиэстер</t>
  </si>
  <si>
    <t>UA HG Authentics Mid Branded</t>
  </si>
  <si>
    <t>1383544-572</t>
  </si>
  <si>
    <t>Спортивный топ UA HG Authentics Mid Branded - это высокотехнологичное снаряжение, созданное для обеспечения исключительного комфорта и поддержки во время тренировок. Этот топ от Under Armour сочетает в себе инновационные материалы и продуманный дизайн, что делает его идеальным выбором для активных женщин, стремящихся к максимальным результатам. Оснащенный технологией HeatGear®, топ обеспечивает оптимальное отведение влаги и поддержание прохлады, что является критически важным при интенсивных физических нагрузках. Материал обладает великолепной эластичностью и износостойкостью, а благодаря компрессионной посадке способствует улучшению кровообращения и уменьшению мышечной усталости.</t>
  </si>
  <si>
    <t>UA M Caddy Speaking SS</t>
  </si>
  <si>
    <t>6012766-100</t>
  </si>
  <si>
    <t>Стильная и комфортная футболка от Under Armour — отличный выбор для активного образа жизни и поклонников гольфа. Модель UA M Caddy Speaking SS сочетает в себе спортивный характер бренда и тематический дизайн: выразительные графические элементы отсылают к атмосфере гольф-полей и подчёркивают ваш стиль.
Особенности:
Комфорт в движении. Благодаря продуманному крою Loose Fuller Cut футболка не сковывает движения и дарит ощущение свободы в течение всего дня.
Оптимальный состав ткани. Сочетание 60 % хлопка и 40 % полиэстера обеспечивает мягкость, хорошую воздухопроницаемость и быстрое высыхание — идеально для спорта и повседневной носки.
Практичность. Материал устойчив к износу, а продуманная конструкция (в том числе ребристый воротник) сохраняет форму изделия даже после многократных стирок.
Стильный акцент. Белоснежная основа в сочетании с акцентами оттенка Blue Haze (голубовато‑дымчатый) смотрится свежо и современно, легко комбинируется с другой спортивной и повседневной одеждой.
Футболка станет удачным выбором для любителей гольфа, поклонников спортивного стиля и всех, кто ценит удобную одежду на каждый день. Свободный крой делает модель универсальной — она подойдёт для тренировок, прогулок и неформальных выходов.</t>
  </si>
  <si>
    <t>Pjt Rck Hwt OS T</t>
  </si>
  <si>
    <t>6006763-001</t>
  </si>
  <si>
    <t>Футболка Under Armour — это мужская розовая (Maroon Mist) футболка из коллекции Project Rock, созданная Дуэйном «Скалой» Джонсоном, сочетающая комфорт хлопка и функциональность полиэстера (60% хлопок, 40% полиэстер) для тренировок и повседневной носки, обладающая мягкой, плотной тканью и оверсайз кроем для свободы движений и комфорта в течение всего дня.</t>
  </si>
  <si>
    <t>UA Tech Vent SS</t>
  </si>
  <si>
    <t>1376791-600</t>
  </si>
  <si>
    <t>Under Armour Tech Vent SS создана для активных мужчин, которым важны комфорт и функциональность во время тренировок. Состав из 96% полиэстера и 4% эластана обеспечивает оптимальную подгонку и свободу движений.
- Технология UA Tech предлагает невероятно мягкую руку, благодаря чему футболка остается комфортной и легкой даже при интенсивных нагрузках.
- Дышащие свойства материала способствуют эффективной вентиляции, обеспечивая прохладу и комфорт в течение всей тренировки.
- Эластичная структура позволяет футболке идеально подстраиваться под тело, не ограничивая движений, что особенно важно для фитнеса.
- Быстросохнущие свойства ткани гарантируют отвод влаги, поддерживая ощущение сухости даже в самые насыщенные моменты тренировки.
- Легкий вес и комфорт фокусируют внимание на тренировочном процессе, не отвлекая внимание от достижения целей.
- Простой, но стильный дизайн позволяет комбинировать футболку с различной спортивной одеждой, сохраняя при этом функциональность.</t>
  </si>
  <si>
    <t>PJT RCK RUGBY SHIRT</t>
  </si>
  <si>
    <t>1387512-001</t>
  </si>
  <si>
    <t>Футболка для мужчин Under Armour Pjt Rck Rugby Shirt сочетает в себе стиль и функциональность, что делает её отличным выбором для активных людей. Изготовленная из прочного нейлона с добавлением эластана, эта футболка обеспечивает исключительную эластичность и комфорт, прекрасно адаптируясь к каждому вашему движению. Круглый ворот и короткие рукава подчеркивают классический спортивный дизайн, а материал эффективно отводит влагу, поддерживая ощущение свежести в течение всего дня. Эта футболка является частью линии Project Rock, вдохновленной стремлением к преодолению пределов и достижению новых высот. Идеальна как для тренировок, так и для повседневной носки, она станет незаменимой частью гардероба.</t>
  </si>
  <si>
    <t>90% нейлон, 10% эластан</t>
  </si>
  <si>
    <t>UA Vanish Energy SS 2.0</t>
  </si>
  <si>
    <t>1379141-348</t>
  </si>
  <si>
    <t>UA RUSH™ помогает вам максимально эффективно тренироваться, достигать высших результатов в соревнованиях и проходить самые интенсивные тренировки. Он возвращает энергию, отлично сидит по фигуре, сохраняет сухость и дарит ощущение, что вы способны побить все свои рекорды.
UA RUSH™ — это инфракрасная технология, которая отражает энергию вашего тела, помогая усерднее тренироваться и быстрее восстанавливаться.
Материал отводит влагу и быстро высыхает.
Ткань с четырёхсторонней растяжкой обеспечивает свободу движений в любом направлении.
Разрезы по бокам низа изделия для вентиляции.</t>
  </si>
  <si>
    <t>PJT RCK IP TANK</t>
  </si>
  <si>
    <t>1389705-001</t>
  </si>
  <si>
    <t>Экипировка Project Rock создана для самых усердных атлетов в зале. Этот плотный топ невероятно комфортен и посвящён тренажёрному залу Дуэйна Джонсона — «Железному рая».
Плотная мягкая ткань с хлопковым смесовым составом обеспечивает комфорт на протяжении всего дня
Ребристый воротник
Необработанный край по проймам рукавов</t>
  </si>
  <si>
    <t>60% Хлопок, 40% Полиэстер</t>
  </si>
  <si>
    <t>PJT RCK TRUCK SS</t>
  </si>
  <si>
    <t>1389944-001</t>
  </si>
  <si>
    <t>Спортивная одежда Project Rock создана для самых усердных спортсменов в зале. Эта футболка с принтом удобна, быстро сохнет и выделяется за счёт дизайна в стиле монстр-траков.
— Мягкая ткань из смеси хлопка обеспечивает комфорт в течение всего дня  
— Рубашечный воротник (резинка)  
— Основная ткань содержит не менее 40% переработанного полиэстера, за исключением отделки и декоративных элементов</t>
  </si>
  <si>
    <t>Pjt Rck Q3 SS 2</t>
  </si>
  <si>
    <t>6005031-002</t>
  </si>
  <si>
    <t>UA PJT RCK RACER TANK TOOLS</t>
  </si>
  <si>
    <t>1386915-709</t>
  </si>
  <si>
    <t>Майка Under Armour UA PJT RCK RACER TANK TOOLS идеально подходит для тех, кто ценит комфорт и стиль в любой ситуации. Изготовленная из тщательно подобранной смеси хлопка, полиэстера и эластана, она обеспечивает отличную посадку и превосходную воздухопроницаемость. Свободный крой и отсутствие рукавов позволяют свободно двигаться и сохраняют ощущение легкости. Эта майка станет отличным выбором для тренировок, занятий спортом или активного отдыха. Элегантный и современный дизайн позволяет легко сочетать её с другими элементами гардероба, добавляя удобство и уверенность в каждом движении.</t>
  </si>
  <si>
    <t>1361034-538</t>
  </si>
  <si>
    <t>Under Armour Crossback Mid Bra  представляет собой женский спортивный топ (бра) средней степени поддержки, предназначенный для таких видов активности, как фитнес, йога, пилатес, езда на велосипеде или силовые тренировки. 
Обеспечивает стратегическую (среднюю) поддержку, подходит для тренировок средней интенсивности.
 Топ выполнен из комбинации 87% полиэстера и 13% эластана, что обеспечивает хорошее влагоотведение и свободу движений.
Используется супергладкая двухслойная ткань HeatGear®, которая создает приятное ощущение прикосновении к коже, а технология защиты от запаха предотвращает рост микробов, вызывающих неприятный запах.
Имеет перекрещивающиеся лямки (crossback) сзади для дополнительной стабильности и предотвращения соскальзывания, а также съемные чашечки.
 Эргономичные плоские швы обеспечивают удобную посадку без натирания</t>
  </si>
  <si>
    <t>UA Playoff 3.0 Printed Polo</t>
  </si>
  <si>
    <t>1378677-121</t>
  </si>
  <si>
    <t>Мы взяли нашу самую популярную поло для гольфа и сделали ее еще лучше. Созданная для лучшей воздухопроницаемости, эластичности и удобной посадки, поло UA Playoff Polo 3.0 поможет вам играть без отвлекающих факторов на протяжении всех 18 лунок.
Детали:
Мягкая, не образующая катышков и затяжек ткань чрезвычайно воздухопроницаема и легка.
Материал отводит пот и очень быстро сохнет.
Эластичная ткань, растягивающаяся в 4 направлениях, обеспечивает лучшую свободу движений.
Защита UPF 40 защищает кожу от вредных солнечных лучей.
Застежка на 3 пуговицы с обновленным низкопрофильным дизайном.
Боковой разрез по низу.</t>
  </si>
  <si>
    <t>95% полиэстер, 5% эластан</t>
  </si>
  <si>
    <t>UA M WM Locker Tag SS</t>
  </si>
  <si>
    <t>6012778-011</t>
  </si>
  <si>
    <t>Все делают обычные футболки... но Under Armour делает их лучше. Ткань, которую мы используем, — лёгкая, мягкая и быстросохнущая. Эта футболка украшена логотипом-надписью на груди для стильного акцента.
• Сверхмягкая ткань из хлопковой смеси обеспечивает комфорт в течение всего дня
• Воротник с трикотажной резинкой</t>
  </si>
  <si>
    <t>UA W SMARTFORM EVOLUTION MID</t>
  </si>
  <si>
    <t>1373826-001</t>
  </si>
  <si>
    <t>Привет, спортсмены! Представляем вам новый UA W SMARTFORM EVOLUTION MID - идеальный спортивный топ для вашего активного образа жизни. Наша технология SMARTFORM идеально подходит для динамичных тренировок и поможет вам справиться с любым вызовом. Материал топа прекрасно приспосабливается к вашему телу, обеспечивая поддержку и комфорт при интенсивных движениях. Невероятно легкий и дышащий материал позволяет вашей коже дышать, создавая ощущение свежести и комфорта на протяжении всей тренировки. UA W SMARTFORM EVOLUTION MID - практичный и функциональный топ, который выдерживает длительные занятия и позволяет вам оставаться на пике максимальной производительности. Будьте лучшими с UA W SMARTFORM EVOLUTION MID!</t>
  </si>
  <si>
    <t>UA PJT RCK PAYOFF GRAPHC SS</t>
  </si>
  <si>
    <t>1383191-100</t>
  </si>
  <si>
    <t>Футболка Under Armour Project Rock Payoff Graphic Short Sleeve – это не просто элемент спортивной одежды, а воплощение философии Dwayne "The Rock" Johnson о непрерывном стремлении к достижению поставленных целей и преодолению любых преград. Эта футболка идеально сочетает в себе стиль, функциональность и высокое качество, делая ее незаменимой для тех, кто ценит активный образ жизни и мотивацию.
Основные характеристики:
1. Материал: Футболка выполнена из мягкой и прочной смеси хлопка и полиэстера, обеспечивающей приятные тактильные ощущения и долговечность. Этот материал отлично дышит, что позволяет вам чувствовать себя комфортно в течение всего дня.
2. Технология Moisture Transport System: Инновационная технология эффективно отводит влагу от тела, сохраняя ощущение сухости и комфорта даже при самых интенсивных тренировках.
3. Крой и посадка: Футболка имеет свободный крой (Loose Fit), который обеспечивает максимальную свободу движений. Специальная конструкция швов снижает вероятность натирания и раздражения кожи, что особенно важно при активных занятиях спортом.
4. Дизайн: Стильный и мотивационный графический принт в ином фирменном стиле Project Rock на груди подчеркивает вашу целеустремленность и приверженность философии Dwayne "The Rock" Johnson. Логотип Project Rock сочетает в себе символ Быка – метафору силы, выносливости и решимости.
5. Прочность и легкость: Материалы и конструкция футболки рассчитаны на долговечность, что делает ее идеальным выбором для ежедневного использования и интенсивных тренировок.
Идеальное применение:
Under Armour Project Rock Payoff Graphic Short Sleeve идеально подходит для самых разнообразных видов спортивной активности – от тренировок в спортзале и на открытом воздухе до пробежек и активного отдыха. Она также отлично впишется в повседневный гардероб, благодаря своему стильному и универсальному дизайну.
Выбирая футболку Under Armour Project Rock Payoff Graphic Short Sleeve, вы делаете выбор в пользу качества, комфорта и настоящей мотивации. Эта футболка станет не просто частью вашего спортивного комплекта, но и символом вашей настойчивости и стремления к победе. Будьте готовы преодолевать любые преграды вместе с ней!</t>
  </si>
  <si>
    <t>UA Tech Split Wordmark SS</t>
  </si>
  <si>
    <t>1383010-338</t>
  </si>
  <si>
    <t>UA Tech™ — наша оригинальная универсальная экипировка для тренировок: свободный крой, лёгкость и ощущение прохлады. Всё, что вам нужно.
• Ткань UA Tech™ быстро сохнет, необычайно мягкая и обладает более естественной текстурой
• Материал эффективно отводит влагу и очень быстро сохнет</t>
  </si>
  <si>
    <t>Tech Polo</t>
  </si>
  <si>
    <t>1290140-429</t>
  </si>
  <si>
    <t>1290140-453</t>
  </si>
  <si>
    <t>Under Armour Tech Polo — стильное поло для мужчин, идеально подходящее для повседневного ношения и активного отдыха. Состав: 100% полиэстер, который обеспечивает легкость и функциональность. Технология UA Charged Cotton сочетает преимущества натуральных и синтетических материй, быстро отводя влагу и ускоряя высыхание.
- Материал адаптируется к движениям тела, предлагая максимальный комфорт и свободу в каждодневной активности.
- Отличная дышимость поддерживает оптимальный микроклимат, предотвращая перегрев и потоотделение.
- Многофункциональный дизайн подходит для гольфа, прогулок и других активностей, усиливая ваш стиль и уверенность.
- Легкость материала не нагружает, позволяя оставаться в движении и активности в течение всего дня.
- Долговечность ткани и кроя сохраняет привлекательный вид, и функциональные свойства даже после длительного использования.</t>
  </si>
  <si>
    <t>Tech ™ 2.0 SS</t>
  </si>
  <si>
    <t>1326413-036</t>
  </si>
  <si>
    <t>UA Tech - это наше оригинальное снаряжение для тренировок: свободное, легкое и сохраняет хладнокровие. Вот почему эта мужская футболка для тренировок - все, что вам нужно.</t>
  </si>
  <si>
    <t>Sportstyle Left Chest Logo SS</t>
  </si>
  <si>
    <t>1326799-036</t>
  </si>
  <si>
    <t>Футболка Under Armour - иделально подойдет как для похода в тренажерный зал, так и для простой повседневной прогулки. Наша футболка изготовлена из материала комбинирующего в себе смесь хлопка и полиэстера, сочетая в себе отличный дышащий материал и прекрасные тактильные ощущения, дополняя все это быстрой сушкой и мгновенным влагоотводом. Идеально подходит для повседневной носки как в сочетании с верхней одеждой, так и без неё. Не упустите возможность испробовать неповторимое качество и комфорт!</t>
  </si>
  <si>
    <t>1326799-600</t>
  </si>
  <si>
    <t>Футболка Under Armour - иделально подойдет как для похода в тренажерный зал, так и для простой повседневной прогулки. Наша футболка изготовлена из материала комбинирующего в себе смесь хлопка и полиэстера, сочетая в себе отличный дышащий материал и прекрасные тактильные ощущения, дополняя все это быстрой сушкой и мгновенным влагоотводом. Идеально подходит для повседневной носки как в сочетании с верхней одеждой, так и без неё. Не упустите возможность испробовать неповторимое качество и комфорт</t>
  </si>
  <si>
    <t>UA M SPORTSTYLE LC SS</t>
  </si>
  <si>
    <t>1326799-604</t>
  </si>
  <si>
    <t>Tech Mesh SS</t>
  </si>
  <si>
    <t>1328964-402</t>
  </si>
  <si>
    <t>Футболка Under Armour - иделально подойдет как для похода в тренажерный зал, так и для простой повседневной прогулки. Наша футболка с приминением новейшей технологии HeatGear, что позволяет материалу сочетать в себе лучшие качества хлопка и синтетики, быть абсолютно гиппоалергенным и обладать идельным влагооотводом, моментально высыхая, технология Anti-Otdor защищает футболку от бактерий способствующих появлению неприятного запаха. Технология 4-Way Srtetch анатомически повторяет форму тела и обеспечивает максимальный комфорт движения. Идеально подходит для повседневной носки как в сочетании с верхней одеждой, так и без неё. Не упустите возможность испробовать неповторимое качество и комфорт!</t>
  </si>
  <si>
    <t>Live Sportstyle Graphic SSC</t>
  </si>
  <si>
    <t>1356305-001</t>
  </si>
  <si>
    <t>Все делают футболки с графическим принтом ... но Under Armour делает их лучше. Используемая нами ткань легкая, мягкая и быстросохнущая. Сверхмягкая ткань из хлопка обеспечивает комфорт на весь день.</t>
  </si>
  <si>
    <t>1356305-002</t>
  </si>
  <si>
    <t>UA Rival Logo SS</t>
  </si>
  <si>
    <t>1356305-009</t>
  </si>
  <si>
    <t>1356305-111</t>
  </si>
  <si>
    <t>Все делают футболки с графическим принтом ... но Under Armour делает их лучше. Используемая сверхмягкая ткань легкая и быстросохнущая обеспечивает комфорт на весь день.</t>
  </si>
  <si>
    <t>1356305-348</t>
  </si>
  <si>
    <t>UA ABC CAMO SS</t>
  </si>
  <si>
    <t>1357727-026</t>
  </si>
  <si>
    <t>Футболка Men ABC Camo SS от Under Armour — это стильное и функциональное решение для вашего гардероба. Камуфляжный принт делают её универсальной для тренировок и повседневного использования. Состав из 60% хлопка и 40% полиэстера обеспечивает приятные тактильные ощущения, дыхание материала и быстрое высыхание. 
- Комбинация хлопка и полиэстера в ткани обеспечивает оптимальную вентиляцию и мгновенный влагоотвод, улучшая комфорт в течение дня.
- Современный камуфляжный принт добавляют стилю индивидуальности, позволяя выделяться в любой обстановке.
- Быстрое высыхание материала гарантирует свежесть и сухость, даже при интенсивных тренировках или в жаркие дни.
- Футболка легко сочетается с различными элементами гардероба, создавая стильные и практичные образы для любой ситуации.
- Материал обеспечивает комфортные тактильные ощущения на коже, что делает её идеальной для продолжительного ношения.
- Деликатная машинная стирка при 30 градусах позволяет сохранять внешний вид и качество, продлевая срок службы изделия.</t>
  </si>
  <si>
    <t>UA Crossback Mid Bra</t>
  </si>
  <si>
    <t>1361034-001</t>
  </si>
  <si>
    <t>1361034-007</t>
  </si>
  <si>
    <t>Under Armour Crossback Mid Bra- компрессионный спортивный бюстгальтер для средних нагрузок.
Under Armour Crossback Mid Bra — это незаменимый элемент спортивной экипировки, разработанный для обеспечения стратегической поддержки во время разнообразных тренировок. Благодаря использованию инновационной ткани HeatGear, он ощущается как вторая кожа, сохраняя прохладу и сухость.  Идеально подходит для занятий спортом со средней интенсивностью, таких как езда на велосипеде, силовые тренировки, бокс, а также для йоги, пилатеса и пеших прогулок. Гладкая, двухслойная ткань ультрабыстро отводит пот и высыхает, обеспечивая превосходное прилегание к коже.
 Мягкие, быстросохнущие чашки обеспечивают дополнительную структуру и покрытие с перфорацией для воздухопроницаемости.
Модель имеет ультраплотный компрессионный крой. Перекрестные бретели с обновленной деталью в виде замочной скважины для более легкого надевания и снятия.Эластичный пояс очень гладкий и мягкий на ощупь. Съемные чашки с маркировкой «Right» и «Left» (правая и левая) для правильного размещения.Материал: 87% полиэстер, 13% эластан. На спортивном бюстгальтере присутствует печатный логотип Under Armour.</t>
  </si>
  <si>
    <t>1361034-338</t>
  </si>
  <si>
    <t>1361034-402</t>
  </si>
  <si>
    <t>1361034-520</t>
  </si>
  <si>
    <t>1361034-690</t>
  </si>
  <si>
    <t>UA Vented SS</t>
  </si>
  <si>
    <t>1361777-014</t>
  </si>
  <si>
    <t>Когда вы активно тренируетесь, вам нужна футболка с хорошей вентиляцией. Легкая, быстросохнущая и достаточно свободная футболка. Ультра-дышащая двухцветная трикотажная ткань очень легкая и удобная. Материал отводит пот и очень быстро сохнет.</t>
  </si>
  <si>
    <t>UA Tech Big Logo SS</t>
  </si>
  <si>
    <t>1363283-001</t>
  </si>
  <si>
    <t>UA Tech - это наше оригинальное снаряжение для тренировок: свободное, легкое и сохраняет прохладу. Это все, что вам нужно. Ткань UA Tech быстросохнущая, ультра-мягкая и более естественная на ощупь. Материал отводит пот и очень быстро сохнет. Технология anti-odor предотвращает рост вызывающих запах микробов.</t>
  </si>
  <si>
    <t>1363283-011</t>
  </si>
  <si>
    <t>1363283-498</t>
  </si>
  <si>
    <t>UA Tech 2.0 SS</t>
  </si>
  <si>
    <t>1363284-001</t>
  </si>
  <si>
    <t>Футболка Under Armour - иделально подойдет как для похода в тренажерный зал, так и для простой повседневной прогулки. Наша футболка с приминением новейшей технологии Tech, что позволяет материалу сочетать в себе лучше ккачества хлопка и синтетики, быть абсолютно гиппоалергенным и обладать идельным влагооотводом, моментально высыхая, технология Anti-Otdor защищает футболку от бактерий способствующих появлению неприятного запаха. Идеально подходит для повседневной носки как в сочетании с верхней одеждой, так и без неё. Не упустите возможность испробовать неповторимое качество и комфорт!</t>
  </si>
  <si>
    <t>1363284-690</t>
  </si>
  <si>
    <t>1363284-712</t>
  </si>
  <si>
    <t>1363374-425</t>
  </si>
  <si>
    <t>1363374-600</t>
  </si>
  <si>
    <t>Майки спортивные для детей – это отличный выбор для активных и энергичных малышей! Эти майки изготовлены из высококачественных материалов – 90% полиэстера и 10% эластана, чтобы обеспечить максимальный комфорт и свободу движений во время физических нагрузок.</t>
  </si>
  <si>
    <t>90% полиэстер,10% эластан</t>
  </si>
  <si>
    <t>SmartForm Evolution Mid</t>
  </si>
  <si>
    <t>1373826-501</t>
  </si>
  <si>
    <t>1373865-012</t>
  </si>
  <si>
    <t>UA LOGO EMB HEAVYWEIGHT SS-BLK</t>
  </si>
  <si>
    <t>1373997-001</t>
  </si>
  <si>
    <t>Откройте для себя легендарный комфорт с Under Armour Logo Embroidered Heavyweight SS — футболкой, созданной, чтобы выдерживать спортивные испытания и эталон практичности в вашем гардеробе. Тяжеловесный хлопок гарантирует долговечность, тогда как дышащий материал обещает удобство в течение всего дня. Изысканный вышитый логотип UA придает этому основному предмету одежды дополнительное чувство стиля. С фасоном, который сочетает в себе свободу движения и современную эстетику, эта футболка обязательно станет вашим фаворитом. Для тяжелых тренировок и повседневной жизни, Under Armour Logo Embroidered Heavyweight SS — выбор победителей.</t>
  </si>
  <si>
    <t>UA M LOGO EMB HEAVYWEIGHT SS</t>
  </si>
  <si>
    <t>1373997-100</t>
  </si>
  <si>
    <t>1373997-411</t>
  </si>
  <si>
    <t>1373997-466</t>
  </si>
  <si>
    <t>UA PJT ROCK BRAHMA BULL LS</t>
  </si>
  <si>
    <t>1374847-505</t>
  </si>
  <si>
    <t>Лонгслив от Under Armour предлагает идеальное сочетание комфорта и стиля. Изготовленный из качественного материала, состоящего из хлопка и полиэстера, он обеспечивает мягкость и долговечность. Свободный крой гарантирует полный комфорт и свободу движений, делая лонгслив подходящим для разнообразных повседневных активностей. Благодаря своему универсальному дизайну, он легко комбинируется с любой одеждой, создавая расслабленный и модный образ. Этот лонгслив станет отличным выбором как для занятий спортом, так и для повседневной носки, оставаясь практичным и стильным.</t>
  </si>
  <si>
    <t>1375692-323</t>
  </si>
  <si>
    <t>1378677-428</t>
  </si>
  <si>
    <t>95% полиэстер, 5% эластан</t>
  </si>
  <si>
    <t>UA Vanish Seamless SS</t>
  </si>
  <si>
    <t>1379149-467</t>
  </si>
  <si>
    <t>Используя зоны сетчатой ткани, точно соответствующие форме вашего тела, вы получаете вентиляцию именно там, где она наиболее необходима, а также повышенный комфорт за счёт минимального количества швов. По сути, это, пожалуй, самая комфортная одежда для тренировок, в которой вам когда-либо приходилось заниматься.
— Мягкая трикотажная ткань со встроенной сетчатой вентиляцией, расположенной в тех местах, где она нужна вам больше всего.
— Конструкция практически без швов, исключающая натирание кожи.
— Четырёхнаправленная эластичная ткань, обеспечивающая максимальную свободу движений во всех направлениях.
— Материал эффективно отводит влагу и очень быстро сохнет.</t>
  </si>
  <si>
    <t>Meridian Fitted Crop Tank</t>
  </si>
  <si>
    <t>1379153-001</t>
  </si>
  <si>
    <t>Эта специально разработанная ткань обеспечивает уникальную мягкость, но при этом отлично отводит пот. Она легкая и воздухопроницаемая. Супермягкий и эластичный трикотаж обеспечивает поддержку и длительный комфорт. Топ со съемной подкладкой для дополнительного покрытия и поддержки.</t>
  </si>
  <si>
    <t>1379153-203</t>
  </si>
  <si>
    <t>1379178-452</t>
  </si>
  <si>
    <t>UA STREAKER SINGLET</t>
  </si>
  <si>
    <t>1382436-100</t>
  </si>
  <si>
    <t>Мягкая, легкая и дышащая ткань
Материал отводит пот и очень быстро сохнет.
перекрывающийся край для лучшей вентиляции
Классический дизайн гоночной спины.
Светоотражающие детали для лучшей видимости при беге в условиях низкой освещенности.
Улучшенная посадка: не слишком тугая и не слишком свободная.</t>
  </si>
  <si>
    <t>94% полиэстер,6% эластан</t>
  </si>
  <si>
    <t>UA Tech Textured SS</t>
  </si>
  <si>
    <t>1382796-023</t>
  </si>
  <si>
    <t>Мужская футболка Under Armour UA Tech Textured SS — это отличный выбор для тех, кто ценит комфорт и стиль в спортивной одежде. Изготовленная из легкого полиэстера, эта футболка обеспечивает превосходную вентиляцию и быстро сохнет, поддерживая ощущение свежести и сухости во время тренировок. Технология UA Tech придаёт ткани мягкость, делающую её приятной к телу, а текстурированная поверхность добавляет современный и динамичный вид. Эта футболка идеально подходит как для занятий спортом, так и для повседневной носки, обеспечивая комфорт и свободу движений. Будь то в зале или на улице, Under Armour UA Tech Textured SS станет надежным спутником в любой ситуации.</t>
  </si>
  <si>
    <t>1382796-690</t>
  </si>
  <si>
    <t>1382796-712</t>
  </si>
  <si>
    <t>1382801-690</t>
  </si>
  <si>
    <t>1382801-870</t>
  </si>
  <si>
    <t>UA HW ARMOUR LABEL SS</t>
  </si>
  <si>
    <t>1382831-001</t>
  </si>
  <si>
    <t>Футболка UA HW ARMOUR LABEL SS от Under Armour — это воплощение новейших технологий и классического стиля для взыскательных спортсменов. Сделанная из первоклассных материалов, она обеспечивает исключительный комфорт и эффективность. Встроенные инновационные технологии идеально подходят как для повседневной носки, так и для интенсивных тренировок. Технология HeatGear от Under Armour обеспечивает максимально эффективное влагоотведение и быстро сохнет, сохраняя свежесть в жаркие дни.
- Эластичность ткани предоставляет свободу движений без всяких ограничений, поддерживая ваши результаты даже в напряжённые моменты.
- Высокая воздухопроницаемость способствует естественной терморегуляции, что особенно важно при физической активности.
- Продвинутая комфортность благодаря качественному сочетанию хлопка и полиэстера, что делает её мягкой и приятной на ощупь.
- Классический стиль с модной ноткой обеспечивает универсальность футболки, подходящей как для тренировочных залов, так и для прогулок.
- Прочность материала гарантирует долгий срок службы и устойчивость к потертостям, сохраняя первоначальный вид.</t>
  </si>
  <si>
    <t>1382831-338</t>
  </si>
  <si>
    <t>1382831-477</t>
  </si>
  <si>
    <t>Футболка UA HW ARMOUR LABEL SS представляет собой новинку в линейке спортивной одежды от Under Armour, сочетающую классический стиль и инновационные технологии, способные удовлетворить требования самых взыскательных спортсменов. Сделанная из высококачественного материала, эта футболка гарантирует исключительный комфорт при носке и высокую производительность во время интенсивных тренировок. Продвинутая ткань с технологией HeatGear от Under Armour обеспечивает отличный уровень влагоотведения и быстро сохнет, что помогает оставаться сухим и прохладным в жаркие дни. Кроме того, материал обладает хорошей эластичностью, не ограничивая движения и позволяя телу дышать в самые напряженные моменты.</t>
  </si>
  <si>
    <t>UA SPORTSTYLE LOGO UPDATE SS</t>
  </si>
  <si>
    <t>1382911-587</t>
  </si>
  <si>
    <t>Футболка Under Armour UA Sportstyle Logo Update SS — это мужская футболка в повседневном спортивном стиле, сочетающая комфорт хлопка с функциональностью синтетических материалов. Она предназначена как для повседневной носки, так и для активного образа жизни, обеспечивая мягкость, легкость и воздухопроницаемость. 
 Футболка изготовлена из смесового материала, который включает хлопок и полиэстер, а иногда и лен. Такое сочетание обеспечивает мягкость и комфорт хлопка, при этом полиэстер помогает материалу быстрее высыхать и лучше отводить влагу.
 Используется технология 4-Way Stretch, благодаря которой ткань растягивается во всех направлениях, обеспечивая максимальный комфорт и свободу движений.
 Материал эффективно отводит влагу от тела и быстро сохнет.
Модель имеет свободный крой (Loose), что гарантирует полный комфорт.
 Классическая футболка с короткими рукавами, круглым воротом и логотипом Under Armour на груди.
 Подходит как для тренировок, так и для повседневной носки.</t>
  </si>
  <si>
    <t>1382915-425</t>
  </si>
  <si>
    <t>1383010-004</t>
  </si>
  <si>
    <t>1383010-027</t>
  </si>
  <si>
    <t>1383191-800</t>
  </si>
  <si>
    <t>UA PJT RCK CAMO GRPHC TK</t>
  </si>
  <si>
    <t>1383226-273</t>
  </si>
  <si>
    <t>Майка Under Armour UA PJT RCK CAMO GRPHC TK, разработанная в сотрудничестве с Двейном "Скалой" Джонсоном, идеально подходит для тех, кто стремится к новым высотам и не боится трудностей. Это уникальное сочетание превосходного комфорта, стильного дизайна и непревзойденной мотивации
- Высококачественные материалы: Изготовлена из дышащей и эластичной тканевой смеси, которая эффективно отводит влагу и быстро сохнет, обеспечивая комфорт даже во время самых интенсивных тренировок.
- Камуфляжный графический дизайн: На майке нанесен стильный камуфляжный принт и фирменный логотип Project Rock, символизирующий силу и решительность. Этот дизайн придает майке уникальный и вдохновляющий вид.
- Эргономичный крой: Специальный крой обеспечивающий полную свободу движений и оптимальную посадку, идеально подходит для занятий спортом и активного образа жизни.
- Мотивация и вдохновение: Фирменная символика Project Rock, включая логотип и графические элементы, напоминает о том, что сила находится внутри каждого из нас. Эта майка вдохновляет на преодоление любых преград и достижение своих целей.
- Универсальность: Майка идеально подходит как для тренировок в зале, так и для активного отдыха на свежем воздухе. Она легко комбинируется с другими элементами спортивного гардероба, создавая стильный и функциональный образ.</t>
  </si>
  <si>
    <t>UA T2G Printed Polo LB</t>
  </si>
  <si>
    <t>1383249-100</t>
  </si>
  <si>
    <t>Сложно найти что-то более комфортное. Это поло из жаккардовой ткани с повышенной эластичностью движется вместе с вами, а не против вас, поэтому вы никогда не будете чувствовать скованности на поле.
Основные особенности:
Мягкая ткань с жаккардовым узором по всей поверхности, устойчивая к катышкам и зацепкам, обеспечивает отличную воздухопроницаемость и лёгкость
Материал отводит влагу и очень быстро сохнет
Ткань с 4-сторонней растяжкой свободно двигается в любом направлении
Защита UPF 50+ оберегает кожу от вредного воздействия солнечных лучей
Воротник и манжеты из плоского трикотажного рубчика
Низкопрофильная планка на 2 пуговицы
Боковые разрезы по низу изделия
Технология контроля запаха эффективно снижает появление неприятных ароматов</t>
  </si>
  <si>
    <t>UA HG Armour Ftd Graphic SS</t>
  </si>
  <si>
    <t>1383320-432</t>
  </si>
  <si>
    <t>Оригинальная ткань HeatGear® сверхлегкая, дышащая и быстро сохнет.
Сетчатые вставки под мышками и на спине для стратегической вентиляции.
Эргономичный дизайн защищает швы от зон повышенного истирания и повышает долговечность.
Гибридная конструкция рукава реглан для дополнительной свободы движений и комфорта.
Технология контроля запаха минимизирует запах.
Приталенный облегающий крой, не слишком узкий и не слишком свободный.
Основная часть: 84% полиэстер/16% эластан
Сетка: 92% полиэстер/8% эластан</t>
  </si>
  <si>
    <t>1383544-001</t>
  </si>
  <si>
    <t>UA HG Mid Branded</t>
  </si>
  <si>
    <t>1383544-713</t>
  </si>
  <si>
    <t>UA Rival Core SS</t>
  </si>
  <si>
    <t>1383648-349</t>
  </si>
  <si>
    <t>Завоюйте уверенность и стиль с футболкой Off Campus Core SS от Under Armour: одежда, которая идеально сочетает в себе академический шик и спортивную функциональность. Разработанная для тех, кто не хочет выбирать между элегантностью и удобством, эта футболка станет верным спутником как в учебных залах, так и на улицах города. Премиальный хлопок обеспечивает уникальное сочетание мягкости, дышащих свойств и долговечности, что делает эту футболку идеальной для ежедневного использования. Её классический крой гарантирует расслабленный силуэт, в то время как современные линии подчеркивают динамичный образ. С футболкой Off Campus Core SS вы получаете не только комфорт, но и привлекательный внешний вид, завершенный изысканным логотипом Under Armour, который тонко демонстрирует вашу приверженность качеству и стилю. Испытайте смелое сочетание классики и инноваций в одном предмете гардероба, который мгновенно станет вашим избранным. Не важно, сталкиваетесь ли вы с академическими вызовами или же проводите свободное время с друзьями, Off Campus Core SS — ваш ответ на требования современной жизни.</t>
  </si>
  <si>
    <t>1383648-477</t>
  </si>
  <si>
    <t>1383648-498</t>
  </si>
  <si>
    <t>UA T2G Printed Polo</t>
  </si>
  <si>
    <t>1383715-414</t>
  </si>
  <si>
    <t>Создан для ультракомфортной посадки и ощущения, при этом обеспечивая вам влагоотводящую, жаростойкую и производительную работу.
Гладкая, мягкая ткань с защитой от задирания и образования катышков отводит пот и быстро сохнет
Материал, растягивающийся в 4 направлениях, лучше тянется во всех направлениях
UPF 50+ защищает вашу кожу от вредных солнечных лучей
Боковой разрез по низу
Технология контроля запаха минимизирует запах
Основная ткань содержит не менее 80% переработанного полиэстера, без учета отделки и украшений</t>
  </si>
  <si>
    <t>UA Infinity High Zip 2.0 Bra</t>
  </si>
  <si>
    <t>1384118-002</t>
  </si>
  <si>
    <t>Когда вам нужна максимальная поддержка и комфорт в самых интенсивных тренировках, обратите внимание на топ Under Armour UA Infinity High Zip Bra. Этот высокофункциональный спортивный бра создаётся с использованием передовых технологий и инновационного дизайна, чтобы обеспечить вам непревзойдённый уровень комфорта и поддержки.
Материал топа невероятно мягкий на ощупь, но при этом прочный и износостойкий. Легко справляется с влагой и обеспечивает свежесть благодаря технологии влагоотведения Under Armour. Молния спереди не только добавляет стиля, но и делает процесс надевания и снимания бра проще и удобнее.
Особая форма чашек Infinity адаптирована к естественному контру груди, предоставляя надёжную фиксацию и равномерное распределение нагрузки. Мягкие, регулируемые бретели и эластичная лента под грудью обеспечивают индивидуальную посадку, дополнительно усиливая ощущение комфорта и поддержки.
Этот топ идеально подойдёт для различных видов активности – от высокоинтенсивных тренировок до занятий йогой. С Under Armour UA Infinity High Zip Bra вы будете чувствовать себя уверенно и комфортно независимо от уровня нагрузки.</t>
  </si>
  <si>
    <t>S A-C</t>
  </si>
  <si>
    <t>42-44 A-C</t>
  </si>
  <si>
    <t>1384227-014</t>
  </si>
  <si>
    <t>1384227-425</t>
  </si>
  <si>
    <t>Tech SSV- Solid</t>
  </si>
  <si>
    <t>1384229-100</t>
  </si>
  <si>
    <t>UA Tech™ — наша оригинальная базовая экипировка для тренировок: свободная, легкая и отлично охлаждающая. Всё, что вам нужно.
Ткань UA Tech™ быстро сохнет, невероятно мягкая и обладает более натуральным ощущением.
Материал эффективно отводит влагу и очень быстро высыхает.
Воротник с V-образным вырезом.
Технология контроля запаха надежно подавляет неприятные запахи.</t>
  </si>
  <si>
    <t>Tech SSC- Twist</t>
  </si>
  <si>
    <t>1384230-001</t>
  </si>
  <si>
    <t>UA Tech™ — это наша оригинальная спортивная одежда, к которой тянет всегда: свободного кроя, легкая и обеспечивающая комфортную температуру. Это всё, что вам нужно.  
Ткань UA Tech™ быстро сохнет, невероятно мягкая и имеет более естественную текстуру.  
Материал эффективно отводит пот и очень быстро высыхает.  
Технология контроля запахов минимизирует их появление.</t>
  </si>
  <si>
    <t>1384230-338</t>
  </si>
  <si>
    <t>1384230-453</t>
  </si>
  <si>
    <t>1384230-703</t>
  </si>
  <si>
    <t>Tech SSC - Solid</t>
  </si>
  <si>
    <t>1384231-001</t>
  </si>
  <si>
    <t>Практичная футболка от Under Armour станет прекрасной основой вашей экипировки для занятий в фитнес-зале.
ОТВЕДЕНИЕ ВЛАГИ
Благодаря технологии UA Tech ткань обладает невероятной мягкостью. Материал отводит пот от кожи и быстро сохнет.
КОМФОРТНАЯ ПОСАДКА
Приталенный крой повторяет линии фигуры. Эластичная ткань 4-Way Stretch обеспечивает максимальный комфорт во время движения.
АНТИБАКТЕРИАЛЬНЫЙ ЭФФЕКТ
Технология Anti-Odor препятствует росту бактерий, которые вызывают неприятный запах.</t>
  </si>
  <si>
    <t>1384231-100</t>
  </si>
  <si>
    <t>Практичная футболка от Under Armour станет прекрасной основой вашей экипировки для занятий в фитнес-зале.
ОТВЕДЕНИЕ ВЛАГИ
Благодаря технологии UA Tech ткань обладает невероятной мягкостью. Материал отводит пот от кожи и быстро сохнет.
КОМФОРТНАЯ ПОСАДКА
Приталенный крой повторяет линии фигуры. Эластичная ткань 4-Way Stretch обеспечивает максимальный комфорт во время движения.
АНТИБАКТЕРИАЛЬНЫЙ ЭФФЕКТ
Технология Anti-Odor препятствует росту бактерий, которые вызывают неприятный запах​.</t>
  </si>
  <si>
    <t>Vanish Seamless Low Bra</t>
  </si>
  <si>
    <t>1384417-001</t>
  </si>
  <si>
    <t>Топ Under Armour Vanish Seamless Low Bra разработан специально для женщин, занимающихся фитнесом, и обеспечивает максимальный комфорт и поддержку во время тренировок. Изготовленный из мягкой и эластичной ткани, состоящей из 88% полиэстера и 12% эластана, он идеально облегает тело, обеспечивая свободу движений. Бесшовная конструкция снижает риск раздражения кожи и обеспечивает приятные ощущения во время носки. Технология отвода влаги быстро испаряет пот, сохраняя сухость и свежесть даже при интенсивных нагрузках. Топ отлично подходит для занятий спортом с низкой нагрузкой, такими как йога или пилатес. Благодаря стильному дизайну и функциональности, этот топ станет незаменимой частью вашего спортивного гардероба.</t>
  </si>
  <si>
    <t>1384417-003</t>
  </si>
  <si>
    <t>1384417-299</t>
  </si>
  <si>
    <t>1384417-520</t>
  </si>
  <si>
    <t>1384417-659</t>
  </si>
  <si>
    <t>UA Crossback Low Bra</t>
  </si>
  <si>
    <t>1386424-008</t>
  </si>
  <si>
    <t>UA Crossback Low Bra — идеальный выбор для активных женщин, обеспечивающий комфорт и стиль во время тренировок. Этот спортивный бюстгальтер сочетает в себе передовые технологии и материалы, обеспечивая надежную поддержку без сковывания движений. Поддержка low-impact специально разработана для занятий фитнесом и йогой, обеспечивая комфорт при легких нагрузках.
- Ткань с технологией влагоотведения эффективно выводит пот, сохраняя сухость и комфорт даже во время интенсивных тренировок.
- Ультрастильный дизайн с крест-накрест спинками обеспечивает свободу движений и дополнительный комфорт в активных позах.
- Высококачественный материал из 87% полиэстера и 13% эластана обеспечивает эластичность и долговечность, идеально прилегая к телу.
- Эластичная нижняя полоска обеспечивает дополнительную поддержку и надежно удерживает бюстгальтер на месте, предотвращая смещение.
- Инновационный дизайн UA Crossback Low Bra подчеркивает эстетику, что делает его естественным дополнением к любому спортивному гардеробу.</t>
  </si>
  <si>
    <t>1386424-520</t>
  </si>
  <si>
    <t>UA Icon Polo</t>
  </si>
  <si>
    <t>1386608-001</t>
  </si>
  <si>
    <t>Мужская рубашка-поло прекрасно подойдет к самым разным повседневным стилям, а также станет элементом спортивного образа. 
Характеристики:
Просторный свободный крой, обеспечивающий комфорт во время активности и полный диапазон движений.
Стандартный крой до бедра.
Изготовлена из 60% хлопка, что делает ее прочным, мягким и приятным на ощупь.
Добавление полиэстера (40%) делает материал прочным и лучше держит форму.
Классический воротник, застегивающийся на 3 пуговицы.
Небольшой логотип Under Armour спереди
Боковые разрезы обеспечивают большую свободу движений.</t>
  </si>
  <si>
    <t>1386608-025</t>
  </si>
  <si>
    <t>1386608-100</t>
  </si>
  <si>
    <t>1386608-465</t>
  </si>
  <si>
    <t>PJT RCK MESH TANK BOH</t>
  </si>
  <si>
    <t>1386888-505</t>
  </si>
  <si>
    <t>Майка Pjt Rck Mesh Tank Boh — отличный выбор для мужчин, серьёзно подходящих к тренировкам и ценящих комфорт. Эта майка без рукавов с круглым вырезом обеспечивает максимальную свободу движений, что делает её идеальной для любых спортивных занятий. Изготовленная из высококачественного и дышащего материала, она эффективно отводит влагу и позволяет коже дышать, помогая вам оставаться свежим даже во время интенсивных тренировок. Сетчатая структура ткани способствует дополнительной вентиляции, а стильный дизайн делает майку универсальным элементом гардероба. Независимо от того, занимаетесь ли вы в зале или на улице, эта майка станет вашим надёжным спутником, сочетая в себе функциональность и современный стиль.</t>
  </si>
  <si>
    <t>UA PJT RCK RACER TANK BOH</t>
  </si>
  <si>
    <t>1386897-505</t>
  </si>
  <si>
    <t>Майка Under Armour UA PJT RCK RACER TANK BOH — это идеальный выбор для тех, кто ценит комфорт и стиль во время тренировок и в повседневной жизни. Изготовленная из мягкой и дышащей ткани, состав которой включает хлопок, полиэстер и эластан, она обеспечивает оптимальную свободу движений благодаря своему свободному крою и отсутствию рукавов. Такая комбинация материалов гарантирует долговечность и быстрое высыхание, что особенно важно для активных занятий спортом. Элегантный дизайн и универсальный фасон позволяют сочетать эту майку как с леггинсами для зала, так и с джинсами для прогулок. Незаменимая вещь для тех, кто хочет сохранять комфорт в любую погоду.</t>
  </si>
  <si>
    <t>1386915-711</t>
  </si>
  <si>
    <t>Campus Oversize SS</t>
  </si>
  <si>
    <t>1387193-100</t>
  </si>
  <si>
    <t>Женская футболка Campus Oversize SS — это стильная и удобная модель, идеально подходящая для создания расслабленного и модного образа. Ее свободный, оверсайз крой обеспечивает максимальный комфорт и свободу движений, добавляя нотку современных тенденций в ваш гардероб. Эта футболка выполнена из мягкого и приятного на ощупь материала, который обеспечивает комфорт в течение всего дня. Универсальный дизайн позволяет легко сочетать её с различными элементами одежды, будь то джинсы, леггинсы или шорты. Отличный выбор для повседневных прогулок, встреч с друзьями или уютного отдыха дома.</t>
  </si>
  <si>
    <t>Vanish Seamless Novelty SS</t>
  </si>
  <si>
    <t>1388129-001</t>
  </si>
  <si>
    <t>Ничто не сможет вас остановить в этой майке. Она изготовлена по технологии бесшовности в самых важных зонах, чтобы минимизировать натирание, а также дополнена продуманной вентиляцией: сетчатые вставки расположены в тех местах, где вы больше всего потеете, чтобы сохранять прохладу и концентрацию.
Мягкая трикотажная ткань с инженерной вентиляцией в ключевых зонах
Почти без швов — для предотвращения раздражения кожи
Материал с четырёхсторонним стрейчем обеспечивает свободу движений в любом направлении
Ткань эффективно отводит пот и быстро высыхает
Технология контроля запаха снижает образование неприятных ароматов</t>
  </si>
  <si>
    <t>52% нейлон, 48% полиэстер</t>
  </si>
  <si>
    <t>UA B BOXED SPORTS Update SS</t>
  </si>
  <si>
    <t>1388672-338</t>
  </si>
  <si>
    <t>Все бренды выпускают футболки с принтами... но Under Armour делает их лучше. Ткань, которую мы используем, — лёгкая, мягкая и быстро сохнет.
Основные особенности:
Супермягкая ткань из хлопкового микса обеспечивает комфорт в течение всего дня
Воротник из эластичного рубчика</t>
  </si>
  <si>
    <t>1388672-466</t>
  </si>
  <si>
    <t>1388672-498</t>
  </si>
  <si>
    <t>HeatGear Rib Tank</t>
  </si>
  <si>
    <t>1388694-348</t>
  </si>
  <si>
    <t>Еще в 1996 году мы изобрели базовый слой — и с тех пор постоянно его совершенствуем. На создание идеального легкого и плотно прилегающего слоя, который эффективно отводит пот, быстро сохнет и сохраняет прохладу, потребовалось 37 прототипаов и бесчисленные часы испытаний.
Наш оригинальный материал HeatGear® невероятно легкий, дышащий и быстро сохнет.
Ткань с четырехсторонней растяжкой обеспечивает свободу движений в любом направлении.
Эластичная ребристая вставка под грудью.
Укороченная длина изделия и открытая резинка по низу с логотипом.
Дизайн спинки с перекрещивающимися бретелями и вырезом в виде keyhole.
Технология контроля запаха минимизирует появление неприятного запаха.</t>
  </si>
  <si>
    <t>UA M HW OS LOGO WASH SS</t>
  </si>
  <si>
    <t>1389147-498</t>
  </si>
  <si>
    <t>Under Armour M HW OS LOGO WASH SS — стильное и комфортное дополнение к вашему повседневному гардеробу. Состав ткани 60% хлопка и 40% полиэстера гарантирует удобство и долговечность на каждый день. Объемная посадка обеспечивает свободу движений и современный силуэт, подходящий для различных поводов.
- Ткань из хлопчатобумажной смеси сочетает плотность и мягкость, поддерживая комфорт в течение всего дня и сохраняя форму даже при интенсивной носке.
- Рубчатый воротник добавляет устойчивости к растяжению, что позволяет изделию сохранять форму после стирки.
- Мягкость натурального материала создает приятные ощущения на коже, поддерживая комфорт и стиль в каждом образе.
- Легкость в уходе делает эту футболку лучшим выбором для тех, кто ценит практичность и удобство.
- Современный дизайн и фирменные детали подчеркивают стиль и индивидуальность, оставаясь при этом универсальными и функциональными.</t>
  </si>
  <si>
    <t>1389147-919</t>
  </si>
  <si>
    <t>UA Run 96 Graphic SS</t>
  </si>
  <si>
    <t>1389568-001</t>
  </si>
  <si>
    <t>Коллекция Run 96 вдохновлена 1996 годом — годом основания Under Armour. Благодаря функциональным технологиям и ретро-дизайну, эти вещи станут незаменимыми для бегунов любого уровня.
Очень мягкая ткань с добавлением хлопка обеспечивает комфорт в течение всего дня
Ребристый воротник
Укороченный крой с разрезами по бокам низа
Мы использовали специальную технологию окрашивания, чтобы придать изделию эффект потертости и «выдержанного» вида, поэтому каждая футболка уникальна и не повторяется</t>
  </si>
  <si>
    <t>1389568-044</t>
  </si>
  <si>
    <t>PJT RCK BRALETTE</t>
  </si>
  <si>
    <t>1389707-299</t>
  </si>
  <si>
    <t>Команда тренировочного проекта Project Rock создана, чтобы помочь вам найти свои пределы и преодолеть их. Вся коллекция лично одобрена Дуэйном Джонсоном — самым усердным трудягой в своем классе. В ЛЮБОМ месте.
Разработано для легкой поддержки и комфорта в течение всего дня.
Ультрамягкая дышащая и комфортная ткань.
Материал с четырехсторонней эластичностью обеспечивает лучшую свободу движений в любых ситуациях.
Формованная проставочная прокладка для большего покрытия и фиксации.
Передний шов с квадратным вырезом для более выгодной посадки.
Перекрещивающиеся бретели на спине.
Технология контроля запахов.</t>
  </si>
  <si>
    <t>82% Полиэстер, 18% Эластан</t>
  </si>
  <si>
    <t>PJT RCK CAMPUS T</t>
  </si>
  <si>
    <t>1389716-001</t>
  </si>
  <si>
    <t>Тренировочная экипировка Project Rock создана для самых трудолюбивых спортсменов. Эта футболка из плотной ткани невероятно удобна и привлекает внимание своим дизайном в гоночном стиле.
Плотная, мягкая ткань из смесового хлопка обеспечивает комфорт в течение всего дня. Воротник и манжеты в рубчик. Спущенный низ плеч и удлиненная длина изделия обеспечивают свободный крой и ощущение комфорта. Основной материал изделия содержит не менее 40% переработанного полиэстера, за исключением отделки и декоративных элементов. Свободный крой: более свободная посадка для максимального комфорта.</t>
  </si>
  <si>
    <t>1389851-520</t>
  </si>
  <si>
    <t>PJT ROCK IRON TANK</t>
  </si>
  <si>
    <t>1389935-989</t>
  </si>
  <si>
    <t>Тренировочная экипировка Project Rock создана для самых усердных спортсменов в зале. Эта футболка с принтом сочетает в себе комфорт, быстрое высыхание и посвящена тренажёрному залу Дуэйна Джонсона — Iron Paradise.
Очень мягкая ткань из хлопковой смеси обеспечивает комфорт в течение всего дня
Материал с четырёхсторонней растяжкой для максимальной свободы движений
Ребристый воротник
Удлинённые проймы для полной амплитуды движений</t>
  </si>
  <si>
    <t>UA B SPORTSTYLE LC SS</t>
  </si>
  <si>
    <t>1389962-001</t>
  </si>
  <si>
    <t>Детская футболка с короткими рукавами Under Armour Sportstyle идеальна для любых активностей. Она выполнена из чрезвычайно мягкого материала, который обеспечивает комфорт и свободу движений в течение всего дня. Логотип UA придаёт изделию спортивный стиль.
• Чрезвычайно мягкий материал
• Комфорт и свобода движений
• Спортивный стиль с логотипом UA</t>
  </si>
  <si>
    <t>1389962-012</t>
  </si>
  <si>
    <t>1389962-466</t>
  </si>
  <si>
    <t>1389962-690</t>
  </si>
  <si>
    <t>1389962-870</t>
  </si>
  <si>
    <t>G Crossback Bra</t>
  </si>
  <si>
    <t>1390066-466</t>
  </si>
  <si>
    <t>1390066-600</t>
  </si>
  <si>
    <t>HeatGear® - это оригинальный базовый слой, который вы надеваете первым и снимаете последним. Без него не может обойтись ни один спортсмен.Супергладкая двухслойная ткань обеспечивает превосходное прилегание к коже. Материал отводит пот и очень быстро сохнет. Материал 4-Way Stretch отлично тянется в любом направлении и обеспечивает свободу движений. Перекрещивающиеся бретели с обновленной застежкой для более легкого надевания/снятия. Двойная подкладка. Технология контроля запаха Odor Control минимизирует неприятный запах.</t>
  </si>
  <si>
    <t>UA Icon HWT Tee Taping</t>
  </si>
  <si>
    <t>1390300-100</t>
  </si>
  <si>
    <t>Все делают простые футболки с принтом... но Under Armour делает их лучше. Эта плотная футболка имеет более весомую фактуру, при этом остаётся невероятно мягкой и удобной. Классические цветовые решения и фирменная тесьма на рукавах добавляют стиля.
Плотная, мягкая ткань из хлопковой смеси обеспечивает комфорт в течение всего дня
Вязаный воротник-стойка
Фирменная тесьма в качестве декоративного элемента</t>
  </si>
  <si>
    <t>UA Rival Rib Baby Tee</t>
  </si>
  <si>
    <t>6000264-001</t>
  </si>
  <si>
    <t>Женская  футболка Under Armour UA Rival Rib Baby Tee идеально подходит для занятий спортом и создания стильного повседневного образа благодаря своей удобной и модной укороченной длине.
Модель выполнена из мягкой, легкой и эластичной ребристой ткани (57% хлопок, 38% полиэстер, 5% эластан), которая тянется в четырех направлениях, обеспечивая полную свободу движений.Имеет облегающий крой, укороченную длину с разрезами по бокам подола и круглый воротник.
 Основной материал содержит не менее 30% переработанного полиэстера, исключая отделку и украшения. На футболке присутствует вышитый фирменный логотип бренда Under Armour.</t>
  </si>
  <si>
    <t>6000264-100</t>
  </si>
  <si>
    <t>6000642-466</t>
  </si>
  <si>
    <t>Ничто не сможет вас остановить в этой футболке. Она выполнена без швов в тех местах, где это особенно важно, чтобы минимизировать трение, а также имеет дополнительную воздухопроницаемость за счёт стратегически расположенных сетчатых вставок в зонах повышенного потоотделения, помогая вам сохранять прохладу и концентрацию.
Сверхмягкая двухцветная трикотажная ткань с текстурированными участками, которые подчеркивают и выгодно моделируют фигуру
Практически бесшовный крой исключает натирания
Материал с четырёхсторонней эластичностью обеспечивает свободу движений во всех направлениях
Ткань эффективно отводит влагу и очень быстро сохнет
Ребристый воротник
Технология контроля запаха надёжно подавляет появление неприятных запахов</t>
  </si>
  <si>
    <t>UA Heatgear Fitted SS</t>
  </si>
  <si>
    <t>6000939-001</t>
  </si>
  <si>
    <t>Under Armour HeatGear  Fitted SS - это  легкая и дышащая мужская футболка для интенсивных тренировок,  оригинальный функциональный базовый слой экипировки, который вы надеваете первым и снимаете последним. Эта футболка создана, чтобы работать вместе с вашим телом, помогая регулировать температуру и повышать эффективность тренировок. 
Идеально подходит для широкого спектра спортивных дисциплин, включая бег, фитнес, силовые тренировки, кардио, кросс-тренинг, а также для любого активного отдыха в теплую погоду. Инновационный материал обеспечивает охлаждение, отводит пот от тела и очень быстро сохнет, сохраняя ощущение сухости и комфорта даже во время самых интенсивных нагрузок.Модель имеет обтекаемый fitted-крой (прилегающий, но не сдавливающий), который не стесняет движений. Материал 4-Way Stretch тянется во всех направлениях, обеспечивая максимальную мобильность.Технология Anti-Odor (контроль запаха) минимизирует размножение бактерий, вызывающих неприятный запах.Эргономичный дизайн швов предотвращает натирание в зонах повышенного трения.Материал: 80% полиэстер, 20% эластоэстер . Футболка отличается отличным комфортом, гибкостью и воздухопроницаемостью, что делает ее надежным выбором для регулярных тренировок.</t>
  </si>
  <si>
    <t>6000939-410</t>
  </si>
  <si>
    <t>UA Tech WM Tape SS</t>
  </si>
  <si>
    <t>6003915-001</t>
  </si>
  <si>
    <t>Если вы хотите спортивную футболку, сочетающую в себе технологии, комфорт и современный стиль, женская футболка с коротким рукавом Under Armour Tech Wordmark Tape станет идеальным выбором для тренировок и повседневной жизни.
Эта футболка, выполненная в фирменном стиле Under Armour, обеспечивает ощущение прохлады, комфорт и высокую производительность при каждом движении.
Футболка изготовлена из ткани UA Tech™, которая является ключевым элементом  спортивной экипировки бренда Under Armour .
Она невероятно легкая, мягкая и дышащая, обеспечивающая естественное ощущение на коже и идеальный комфорт даже во время интенсивных тренировок.
Технология отвода влаги эффективно отводит пот от тела и способствует быстрому высыханию ткани, сохраняя вас сухим и прохладным на протяжении всей тренировки.
Особое место в дизайне занимает декоративная лента с логотипом на плечах , которая придает образу современный спортивный характер и узнаваемый фирменный стиль.
В то же время, основная ткань содержит не менее 90% переработанного полиэстера , что делает ее более экологичным выбором без ущерба для качества или эксплуатационных характеристик.
Эта футболка Under Armour идеально подходит для тренажерного зала, бега, фитнеса или повседневной носки в спортивном стиле, сочетая в себе функциональность, комфорт и динамичный спортивный дизайн.</t>
  </si>
  <si>
    <t>UA HG Rib Tank</t>
  </si>
  <si>
    <t>6003985-673</t>
  </si>
  <si>
    <t>Эта майка создана, чтобы двигаться вместе с вашим телом, а не против него. Продвинутая конструкция с 4-направленным стретчем обеспечивает полную свободу движений в любом направлении. В сочетании с ажурным дизайном без рукавов она даёт полную свободу рукам при подъёмах, растяжках и захватах.
Фигурный, облегающий силуэт создаёт ощущение поддержки без давления компрессионной одежды, а уникальная рельефная текстура добавляет стильный вид и улучшает гибкость. Удлинённый контурный подол обеспечивает надёжное прикрытие спины — вы можете уверенно наклоняться, приседать и растягиваться, не отвлекаясь на одежду.
Основные характеристики и технические параметры:
Дизайн: Спортивная конструкция без рукавов для максимальной мобильности и циркуляции воздуха — идеально подходит для интенсивных тренировок, сохраняя прохладу.
Технология ткани: Изготовлена из передового синтетического материала с фирменной технологией HeatGear® от Under Armour для эффективного отвода влаги и тепла.
Посадка и эластичность: Материал с 4-направленным стретчем идеально повторяет контуры тела, обеспечивая безупречную посадку, которая движется вместе с вами при любой активности.
Вырез горловины: Классический круглый вырез — удобный, не стесняющий движений, сочетает в себе функциональность и универсальность.
Управление влагой: Превосходные влагоотводящие свойства — отводят влагу от тела, чтобы вы оставались сухими и комфортными.
Скорость высыхания: Материал специально разработан для быстрого высыхания, исключая ощущение тяжести и промокания.
Покрытие: Контурный удлинённый подол обеспечивает дополнительное прикрытие и уверенность при динамичных движениях.
Текстура: Мягкая рельефная структура добавляет стиля, одновременно улучшая естественную растяжку и комфорт ткани.</t>
  </si>
  <si>
    <t>UA Tech Utility SS</t>
  </si>
  <si>
    <t>6004965-870</t>
  </si>
  <si>
    <t>Pjt Rck Q3 SS 1</t>
  </si>
  <si>
    <t>6005046-651</t>
  </si>
  <si>
    <t>Тренировочная экипировка Project Rock создана для самых усердных атлетов в зале. Эта футболка с принтом удобна, быстро сохнет и подчёркивает ваш стиль.
Сверхмягкая ткань из хлопкового микса обеспечивает комфорт на протяжении всего дня.
Ребристый воротник.</t>
  </si>
  <si>
    <t>UA HWT ATHLETIC DEPT AOP SS</t>
  </si>
  <si>
    <t>6005655-498</t>
  </si>
  <si>
    <t>Все делают футболки с принтами... но Under Armour делает их лучше. Эта плотная футболка ощущается более солидно, но при этом очень мягкая и удобная, а сплошной принт добавляет яркости.
Детали:
Плотная, мягкая ткань из смеси хлопка обеспечивает комфорт в течение всего дня.
Воротник в рубчик.
Основная ткань изделия содержит не менее 40% переработанного полиэстера, за исключением отделки и декоративных элементов.</t>
  </si>
  <si>
    <t>Pjt Rck Iso Chill Tank</t>
  </si>
  <si>
    <t>6007179-044</t>
  </si>
  <si>
    <t>Сетчатая ткань ISO-CHILL помогает равномерно распределять тепло тела, создавая приятное ощущение прохлады
• Сетчатая вставка на спине для дополнительной вентиляции
• Материал отводит влагу и очень быстро сохнет
• Эластичный материал с растяжением в 4 направлениях обеспечивает большую свободу движений во всех направлениях</t>
  </si>
  <si>
    <t>Pjt Rck Statement Graphic SS</t>
  </si>
  <si>
    <t>6007507-651</t>
  </si>
  <si>
    <t>Футболка Under Armour  (Project Rock Statement Graphic SS Tee) - это женская спортивная/повседневная футболка с коротким рукавом, разработанная для комфорта и стиля, сочетающая мягкость хлопка и функциональность полиэстера, идеальна для тренировок и активного образа жизни благодаря воздухопроницаемости и долговечности, с графическим дизайном.</t>
  </si>
  <si>
    <t>PERFORMANCE COTTON UNDERSHIRT - SOLID FITTED TANK 2PK</t>
  </si>
  <si>
    <t>6007622-001</t>
  </si>
  <si>
    <t>Майка (2 шт)</t>
  </si>
  <si>
    <t>Майка Under Armour   — это мужская майка (безрукавка) под названием UA Performance Cotton Undershirt - Solid Fitted Tank 2PK. Она  продается в наборе из двух штук. Предназначена для использования в качестве удобного базового слоя под одежду, а также подходит для легких физических нагрузок в зале или на улице. Модель разработана для обеспечения комфорта в течение всего дня благодаря мягкому материалу. 
Сверхмягкая смесовая хлопковая ткань (performance cotton), которая обеспечивает комфорт и приятные ощущения к телу. Материал эффективно отводит пот и быстро сохнет. Облегающий крой (Fitted), не слишком тугой и не слишком свободный. Классический вырез горловины и широкие бретели.
 Поставляется в комплекте из 2-х штук. 
Эта майка сочетает в себе мягкость хлопка и функциональные свойства синтетических материалов Under Armour, обеспечивая комфорт, воздухопроницаемость и быстрое высыхание. Это долговечный и универсальный предмет гардероба.</t>
  </si>
  <si>
    <t>95% хлопок, 5% спандекс</t>
  </si>
  <si>
    <t>6007622-100</t>
  </si>
  <si>
    <t>Motion Tank EMEA</t>
  </si>
  <si>
    <t>6007656-338</t>
  </si>
  <si>
    <t>Эта специально разработанная ткань отличается уникальной мягкостью, при этом безупречно отводя влагу. Она легкая, дышащая и полностью готова к работе.
Детали:
Сверхмягкий трикотаж — дышащий и комфортный
Материал с растяжимостью в 4 направлениях обеспечивает полную свободу движений
Глубокий округлый вырез спереди и сзади
Отделка пройм окантовкой</t>
  </si>
  <si>
    <t>6007656-410</t>
  </si>
  <si>
    <t>Motion Shorts Bodysuit</t>
  </si>
  <si>
    <t>6007876-001</t>
  </si>
  <si>
    <t>Боди</t>
  </si>
  <si>
    <t>Эта специально разработанная ткань обладает уникальной мягкостью, при этом отлично отводит пот. Она легкая, дышащая и готова к работе.
Детали:
Сверхмягкая, ворсистая трикотажная ткань дышит и обеспечивает комфорт.
Материал, растягивающийся в 4 направлениях, обеспечивает свободу движений.
Встроенный бюстгальтер-подкладка для дополнительной поддержки.
Стратегическая конструкция ластовицы для большей свободы движений.
Спинка с бретелями и вырезом.</t>
  </si>
  <si>
    <t>6007876-338</t>
  </si>
  <si>
    <t>W Explor Trail Run Graphic</t>
  </si>
  <si>
    <t>6009174-016</t>
  </si>
  <si>
    <t>Беговая экипировка, разработанная специально для преодоления трудностей бездорожья. Лёгкая, сверхпрочная, эластичная и быстро сохнущая. Ни одна тропа не будет слишком сложной.
Супермягкая сетка с микроперфорацией обеспечивает превосходную воздухопроницаемость без ущерба для защиты
Материал отводит влагу и очень быстро сохнет
Ткань с растяжением в 4 направлениях обеспечивает свободу движений в любом направлении
Светоотражающий принт для повышенной видимости
Укороченная длина изделия
Технология контроля запаха эффективно минимизирует неприятные ароматы</t>
  </si>
  <si>
    <t>UA M LOGO COLLAGE SS</t>
  </si>
  <si>
    <t>6009244-338</t>
  </si>
  <si>
    <t>6009244-520</t>
  </si>
  <si>
    <t>UA M BLOCK LOGO SS</t>
  </si>
  <si>
    <t>6009250-001</t>
  </si>
  <si>
    <t>Каждый бренд выпускает футболки с принтами... но Under Armour делает их лучше. Ткань, которую мы используем, — лёгкая, мягкая и быстро сохнет. Эта футболка украшена контрастными логотипами спереди и сзади для дополнительного акцента.
Сверхмягкая ткань из хлопковой смеси обеспечивает комфорт в течение всего дня
Эластичный ребристый воротник</t>
  </si>
  <si>
    <t>6009250-498</t>
  </si>
  <si>
    <t>UA M HWT SPORTS SS</t>
  </si>
  <si>
    <t>6009268-008</t>
  </si>
  <si>
    <t>Все бренды выпускают футболки с принтами... но Under Armour делает их лучше. Эта плотная футболка с короткими рукавами и ярким графическим принтом обладает более весомой, качественной фактурой, при этом остаётся супермягкой и комфортной.
Плотная, мягкая ткань из хлопковой смеси обеспечивает комфорт в течение всего дня
Вязаный рифлёный воротник</t>
  </si>
  <si>
    <t>UA B Basketball SS</t>
  </si>
  <si>
    <t>6009319-001</t>
  </si>
  <si>
    <t>Их любовь к игре проявляется в детской футболке Under Armour Basketball! Эта детская футболка имеет вязаный круглый вырез горловины и ультямягкую ткань для комфорта в течение всего дня. Принт идеально дополняет баскетбольный стиль.
Особенности:
Ультямягкая ткань обеспечивает комфорт в течение всего дня
Вязаный круглый вырез горловины
Свободный крой</t>
  </si>
  <si>
    <t>UA M 60/40S CITY CLASSIC SS</t>
  </si>
  <si>
    <t>6009326-008</t>
  </si>
  <si>
    <t>Мужская футболка с коротким рукавом Under Armour City Classic черного цвета сочетает в себе комфорт и стиль, что делает ее незаменимой в повседневной жизни.
Ультрамягкая ткань облегает тело, не стесняя движений, обеспечивая комфорт в течение всего дня.
Ребристый круглый вырез горловины обеспечивает идеальную посадку футболки Under Armour и сохранение ее формы даже после многократного использования и стирок.
Свободный крой придает изделию современный и комфортный вид, а яркий принт на спине добавляет динамичности и стиля, который выделяется, не будучи при этом излишним.
Идеально подходит для повседневных образов, тренировок низкой интенсивности или моментов отдыха, всегда обеспечивая комфорт и современный вид.</t>
  </si>
  <si>
    <t>6009506-069</t>
  </si>
  <si>
    <t>UA BCL Pro Print SS</t>
  </si>
  <si>
    <t>6009507-001</t>
  </si>
  <si>
    <t>Under Armour усовершенствовали структуру волокон и применили современные технологии, чтобы создать инновационную ткань, которая быстро отводит тепло от кожи, помогая сохранять прохладу и максимальную эффективность во время тренировок. Легкая ткань Iso-Chill способствует рассеиванию тепла тела и остается прохладной на ощупь. Технология 4-Way Stretch обеспечивает свободу движений во всех направлениях. Материал эффективно отводит влагу и очень быстро сохнет. Увеличенное количество лазерной перфорации спереди и сзади улучшает циркуляцию воздуха. Защита UPF 30 оберегает кожу от вредного воздействия солнечных лучей. Боковые разрезы по нижнему краю повышают комфорт при движении. Светоотражающие элементы улучшают видимость во время пробежек в условиях низкой освещенности. Технология Odor control помогает минимизировать появление неприятных запахов.</t>
  </si>
  <si>
    <t>UA BCL SS</t>
  </si>
  <si>
    <t>6009517-001</t>
  </si>
  <si>
    <t>Для длительных дистанций и скоростных забегов невероятный комфорт, идеальная эластичность и легкость — вот что вы получаете с UA BCL. По сути, вы чувствуете себя так, будто на вас ничего нет.
Детали:
Сверхмягкая, легкая ткань с обновленным жаккардовым узором и добавлением эластичных волокон для улучшенной воздухопроницаемости и циркуляции воздуха.
Материал отводит пот и очень быстро сохнет.
Эластичная ткань, растягивающаяся в 4 направлениях, обеспечивает лучшую свободу движений.
Обновленный, более свободный крой с более высоким воротником.
Боковой разрез по низу.
Технология контроля запаха минимизирует его появление.</t>
  </si>
  <si>
    <t>UA W REALITY CAN WAIT SS</t>
  </si>
  <si>
    <t>6009534-001</t>
  </si>
  <si>
    <t>Все делают футболки с принтами... но Under Armour делает их лучше. Ткань, из которой изготовлена футболка, легкая и быстро сохнет. Модель дополнена принтом, вдохновленным бегом, что подчеркивает ее спортивный характер. Очень мягкая хлопковая ткань обеспечивает комфорт на протяжении всего дня, а ребристый воротник идеально завершает крой и общий вид.</t>
  </si>
  <si>
    <t>6009534-023</t>
  </si>
  <si>
    <t>UA BCL Shortsleeve</t>
  </si>
  <si>
    <t>6009540-001</t>
  </si>
  <si>
    <t>6009540-703</t>
  </si>
  <si>
    <t>Более длинные дистанции и быстрый бег начинаются с невероятного комфорта, идеальной эластичности и ощущения лёгкости. Именно это вы получаете с UA VLC. Это практически ощущается так, будто на вас ничего нет.
Супермягкая, лёгкая ткань с обновлённым жаккардовым узором и повышенной эластичностью для улучшенной воздухопроницаемости и циркуляции воздуха
Материал отводит влагу и очень быстро сохнет
Ткань с растяжением в 4 направлениях обеспечивает свободу движений в любом направлении
Обновлённый, более свободный крой с высоким воротом для повышенного комфорта и защиты, чтобы ничто не отвлекало вас
Боковые вентиляционные разрезы по нижнему краю
Технология контроля запаха эффективно минимизирует неприятные ароматы</t>
  </si>
  <si>
    <t>6009540-824</t>
  </si>
  <si>
    <t>UA BCL Singlet</t>
  </si>
  <si>
    <t>6009541-712</t>
  </si>
  <si>
    <t>Длинные дистанции и быстрые пробежки начинаются с максимального комфорта, идеальной эластичности и легкости. Именно это обеспечивает UA BCL — ощущение такое, будто на вас практически ничего нет. Ультрамягкая и легкая ткань с обновленной жаккардовой структурой и дополнительной эластичностью обеспечивает улучшенную воздухопроницаемость и циркуляцию воздуха. Материал эффективно отводит влагу и очень быстро сохнет. Технология 4-Way Stretch обеспечивает свободу движений во всех направлениях. Обновленный, более свободный крой с более высоким вырезом обеспечивает дополнительный комфорт и покрытие, устраняя отвлекающие факторы. Классический дизайн racerback обеспечивает полную свободу движений. Боковые разрезы по нижнему краю повышают комфорт при движении. Технология Odor control помогает минимизировать появление неприятных запахов.</t>
  </si>
  <si>
    <t>Cropped Script SS Tee</t>
  </si>
  <si>
    <t>6009677-008</t>
  </si>
  <si>
    <t>Cropped Script SS Tee — женская укороченная футболка Under Armour с надписью, черная.
Женская укороченная футболка Under Armour Cropped Script SS Tee — стильный базовый элемент спортивного гардероба. Надпись в фирменном стиле Under Armour делает образ легко узнаваемым.
Изготовлена из 100% хлопка — мягкого, натурального и дышащего. Укороченный крой подчёркивает фигуру и отлично сочетается с тайтсами, шортами или леггинсами. Универсальная модель подходит как для тренировок, так и для повседневного ношения. Классический чёрный цвет сочетается с любым низом. Футболка Under Armour — это качество, стиль и комфорт в одном изделии.
Материал: 100% хлопок.</t>
  </si>
  <si>
    <t>UA Drive Printed Polo</t>
  </si>
  <si>
    <t>6009719-014</t>
  </si>
  <si>
    <t>Разработанное с применением технологии UA Helix, это поло с принтом адаптируется к вашему телу, отводя влагу от кожи, усиливая циркуляцию воздуха и быстро высыхая, чтобы рубашка никогда не прилипала, а ваше внимание оставалось сфокусированным.
Работает на базе технологии UA Helix, которая адаптируется к вашему телу, отводит пот, ускоряет время высыхания и усиливает воздухообмен
Создано, чтобы не прилипать к телу и сохнуть на 50% быстрее, чем наше поло UA Playoff
Защита UPF 50+ оберегает кожу от вредного воздействия солнечных лучей
Технология контроля запаха эффективно минимизирует неприятные ароматы
Современный структурированный воротник со встроенными фиксаторами сохраняет чёткую форму на протяжении всей игры
Стильная планка на скрытой фурнитуре (bonded placket)
Современный крой: отлично смотрится навыпуск, но также надёжно держится в заправленном виде для игры на поле
Премиальный силиконовый логотип и перламутровые пуговицы</t>
  </si>
  <si>
    <t>UA Drive Chill Printed Polo</t>
  </si>
  <si>
    <t>6009724-001</t>
  </si>
  <si>
    <t>Мы сплющили волокна в этом гольф-поло и добавили немного науки, чтобы создать революционную ткань, которая быстро отводит тепло от кожи — помогая вам сохранять спокойствие, прохладу и работать на максимуме возможностей на поле.
Ткань Iso-Chill помогает рассеивать тепло тела, создавая ощущение прохлады при прикосновении — идеально для жарких раундов в гольф
Ткань с растяжением в 4 направлениях обеспечивает свободу движений в любом направлении
Материал отводит влагу и очень быстро сохнет
Защита UPF 50+ оберегает кожу от вредного воздействия солнечных лучей
Модернизированный воротник из основной ткани
Премиальные детали: силиконовый логотип на груди и перламутровые пуговицы
Технология контроля запаха эффективно минимизирует неприятные ароматы</t>
  </si>
  <si>
    <t>76% нейлон, 24% эластан</t>
  </si>
  <si>
    <t>6009724-100</t>
  </si>
  <si>
    <t>76% нейлон, 24% эластан</t>
  </si>
  <si>
    <t>6009724-411</t>
  </si>
  <si>
    <t>UA Drive Jacquard Polo</t>
  </si>
  <si>
    <t>6009737-001</t>
  </si>
  <si>
    <t>Разработанное с применением технологии UA Helix, это поло адаптируется к вашему телу, отводя влагу от кожи, усиливая циркуляцию воздуха и быстро высыхая, чтобы рубашка никогда не прилипала, а ваше внимание оставалось сфокусированным.
Работает на базе технологии UA Helix, которая адаптируется к вашему телу, отводит пот, ускоряет время высыхания и усиливает воздухообмен
Создано, чтобы не прилипать к телу и сохнуть на 50% быстрее, чем наше поло UA Playoff
Технология контроля запаха эффективно минимизирует неприятные ароматы
Современный структурированный воротник со встроенными фиксаторами сохраняет чёткую форму на протяжении всей игры
Стильная планка на скрытой фурнитуре (bonded placket)
Современный крой: отлично смотрится навыпуск, но также надёжно держится в заправленном виде для игры на поле
Премиальный силиконовый логотип и перламутровые пуговицы</t>
  </si>
  <si>
    <t>UA T2G Colorblock Polo</t>
  </si>
  <si>
    <t>6009798-425</t>
  </si>
  <si>
    <t>UA M HWT FITNESS EXPO SS</t>
  </si>
  <si>
    <t>6009931-100</t>
  </si>
  <si>
    <t>Все бренды выпускают футболки с принтами... но Under Armour делает их лучше. Эта плотная футболка с короткими рукавами и яркими графическими принтами обладает более весомой, качественной фактурой, при этом остаётся супермягкой и комфортной.
Плотная, мягкая ткань из хлопковой смеси обеспечивает комфорт в течение всего дня
Вязаный рифлёный воротник</t>
  </si>
  <si>
    <t>Tech Mesh Racer Tank</t>
  </si>
  <si>
    <t>6009989-001</t>
  </si>
  <si>
    <t>94% полиэстер, 6% эластан</t>
  </si>
  <si>
    <t>6009990-001</t>
  </si>
  <si>
    <t>UA HeatGear Crop Mock SS</t>
  </si>
  <si>
    <t>6010006-600</t>
  </si>
  <si>
    <t>84% полиэстер, 16% эластан</t>
  </si>
  <si>
    <t>UA HeatGear Mesh Tank</t>
  </si>
  <si>
    <t>6010007-008</t>
  </si>
  <si>
    <t>Гладкая функциональная ткань HeatGear® невероятно лёгкая и дышащая.
Основные особенности:
Материал эффективно отводит влагу и быстро сохнет
Дизайн «рейсербек» из сетчатого материала Power Mesh и вырез «замочная скважина» для улучшенной воздухопроницаемости
Мягкий эластичный низ с принтом-логотипом
Технология контроля запаха минимизирует появление неприятных ароматов</t>
  </si>
  <si>
    <t>UA M GFB FC HWT SS</t>
  </si>
  <si>
    <t>6010361-426</t>
  </si>
  <si>
    <t>UA M GFB MULTI COLOR HWT SS</t>
  </si>
  <si>
    <t>6010362-001</t>
  </si>
  <si>
    <t>UA M GFB  EARTH HWT SS</t>
  </si>
  <si>
    <t>6010364-100</t>
  </si>
  <si>
    <t>UA W WM CROP SS</t>
  </si>
  <si>
    <t>6010588-001</t>
  </si>
  <si>
    <t>Все производят футболки с принтами, но никто не делает их так хорошо, как Under Armour. Используется легкая, мягкая и быстросохнущая ткань. Эта футболка выделяется своим рукописным логотипом, который добавляет ей стиля.
Мягкая ткань из смесового хлопка обеспечивает комфорт в течение всего дня.
Ребристый воротник.</t>
  </si>
  <si>
    <t>6010588-100</t>
  </si>
  <si>
    <t>6010592-466</t>
  </si>
  <si>
    <t>6010603-425</t>
  </si>
  <si>
    <t>53% полиэстер, 47% нейлон</t>
  </si>
  <si>
    <t>6010603-709</t>
  </si>
  <si>
    <t>В этой футболке ничто не сможет вас остановить. Бесшовный крой обеспечивает минимальное натирание, кроме того, сетчатые детали, стратегически расположенные там, где вы больше всего потеете, обеспечивают дополнительную воздухопроницаемость, чтобы вам было прохладно и вы могли сосредоточиться.</t>
  </si>
  <si>
    <t>UA Vanish SS</t>
  </si>
  <si>
    <t>6010870-338</t>
  </si>
  <si>
    <t>UA Hoops Performance LS</t>
  </si>
  <si>
    <t>6010922-014</t>
  </si>
  <si>
    <t>Эта коллекция создана для тех, кто живёт и дышит баскетболом. В неё входят ультракомфортные разминочные комплексы, а также футболки, майки и шорты, которые превосходят всё остальное на площадке.
Гладкая, лёгкая, быстросохнущая ткань с градиентным принтом для превосходной производительности
Материал отводит влагу и очень быстро сохнет
Ткань с растяжением в 4 направлениях обеспечивает свободу движений в любом направлении
Рукава реглан для улучшенной амплитуды движений
Боковые вентиляционные разрезы по нижнему краю
Технология контроля запаха эффективно минимизирует неприятные ароматы</t>
  </si>
  <si>
    <t>UA M OVAL WM SS</t>
  </si>
  <si>
    <t>6011075-100</t>
  </si>
  <si>
    <t>6011075-425</t>
  </si>
  <si>
    <t>UA M MOUNTAIN PHOTOREAL SS</t>
  </si>
  <si>
    <t>6011077-709</t>
  </si>
  <si>
    <t>Все шьют футболки с принтами... но Under Armour делает их лучше. Ткань, которую мы используем, легкая, мягкая и быстросохнущая. Эта футболка украшена принтом и цветами в стиле outdoor для прогулок по трейлам.
Особенности:
Сверхмягкая ткань из хлопковой смеси обеспечивает комфорт в течение всего дня
Воротник с резинкой</t>
  </si>
  <si>
    <t>UA M HOOPS TRIPLE LOGO SS</t>
  </si>
  <si>
    <t>6011246-800</t>
  </si>
  <si>
    <t>Все производят футболки с принтами... но Under Armour делает это лучше. Материал, который мы используем, легкий, мягкий и быстросохнущий. Эта футболка украшена логотипом в баскетбольной тематике, чтобы показать вашу страсть к игре.
Детали:
Сверхмягкий материал из смеси хлопка для комфорта в течение всего дня.
Ребристый воротник.</t>
  </si>
  <si>
    <t>UA W SCRIPTHEART CROP SS</t>
  </si>
  <si>
    <t>6011506-110</t>
  </si>
  <si>
    <t>Все шьют футболки с принтами... но Under Armour делает их лучше. Ткань, которую мы используем, легкая, мягкая и быстросохнущая. Эта футболка украшена классическим графическим логотипом в стиле каллиграфической надписи для дополнительного шарма.
Особенности:
Сверхмягкая ткань из хлопковой смеси обеспечивает комфорт в течение всего дня
Воротник с резинкой</t>
  </si>
  <si>
    <t>Tech Pixelate SSC</t>
  </si>
  <si>
    <t>6012302-669</t>
  </si>
  <si>
    <t>UA Tech™ — это наша базовая тренировочная экипировка: свободная, легкая и охлаждающая. Все, что нужно для комфорта во время тренировок. Ткань UA Tech™ быстро высыхает, ультрамягкая и дает более натуральные ощущения при носке. Материал эффективно отводит влагу и очень быстро сохнет. Технология Odor control минимизирует появление неприятного запаха. Основная ткань содержит не менее 70% переработанного полиэстера, без учета отделки и декоративных элементов.</t>
  </si>
  <si>
    <t>UA Tech Taping SS</t>
  </si>
  <si>
    <t>6012356-203</t>
  </si>
  <si>
    <t>UA Tech™ — это оригинальная тренировочная одежда: свободная, легкая и обеспечивающая комфорт и прохладу. В ней есть все, что вам нужно.
Детали:
Ткань UA Tech™ быстро сохнет, очень мягкая и приятна на ощупь.
Материал отводит пот и очень быстро сохнет.
Технология контроля запаха минимизирует появление неприятного запаха.
Декоративные элементы в виде тесьмы с логотипом компании на плечах и рукавах.
Основная ткань изделия содержит не менее 90% переработанного полиэстера, за исключением отделки и декоративных элементов.</t>
  </si>
  <si>
    <t>6012660-800</t>
  </si>
  <si>
    <t>UA HeatGear Crop Mock LS</t>
  </si>
  <si>
    <t>6012691-008</t>
  </si>
  <si>
    <t>HeatGear® — это наш оригинальный высокоэффективный базовый слой, который вы надеваете первым и снимаете последним. Поэтому мы сделали этот укороченный лонгслив особенно комфортным, отводя пот и растягиваясь, чтобы вы могли двигаться в любой ситуации.
Детали:
Гладкая высокоэффективная ткань HeatGear® очень легкая и дышащая
Материал отводит пот и быстро сохнет
Эластичная ткань, растягивающаяся в 4 направлениях, обеспечивает лучшую свободу движений
Воротник-стойка для дополнительной защиты
Укороченная длина
Рукава реглан
Технология контроля запаха минимизирует неприятный запах.</t>
  </si>
  <si>
    <t>6012691-338</t>
  </si>
  <si>
    <t>6012729-001</t>
  </si>
  <si>
    <t>6012729-069</t>
  </si>
  <si>
    <t>6012778-466</t>
  </si>
  <si>
    <t>UA Hoops Training Tank</t>
  </si>
  <si>
    <t>6012823-100</t>
  </si>
  <si>
    <t>Эта коллекция создана для людей, которые живут и дышат баскетболом. В ней вы найдете ультракомфортные спортивные костюмы, а также футболки, майки и шорты, которые превосходят все остальное на площадке.
Детали:
Сверхмягкая ткань из смеси хлопка обеспечивает комфорт в течение всего дня.
Заниженные проймы для полной свободы движений.
Необработанный край воротника и пройм.
Боковая шлица.</t>
  </si>
  <si>
    <t>UA Halftime Ribbed Pom-BLK</t>
  </si>
  <si>
    <t>1373098-001</t>
  </si>
  <si>
    <t>Шапка</t>
  </si>
  <si>
    <t>Шапки</t>
  </si>
  <si>
    <t>Шапка Under Armour черного цвета современного кроя.</t>
  </si>
  <si>
    <t>22% нейлон, 28% полиэстер, 50% акрил</t>
  </si>
  <si>
    <t>UA W AROUND TOWN BEANIE</t>
  </si>
  <si>
    <t>1299899-100</t>
  </si>
  <si>
    <t>Прочная трикотажная конструкция обеспечивает тепло в течение всего дня.Флисовая подкладка обеспечивает мягкость и комфорт.Маленький металлический логотип Under Armour.</t>
  </si>
  <si>
    <t>100% акрил</t>
  </si>
  <si>
    <t>54-58</t>
  </si>
  <si>
    <t>W's Halftime Beanie</t>
  </si>
  <si>
    <t>6007044-538</t>
  </si>
  <si>
    <t>Эта шапка-бини станет вашим новым must-have в холодную погоду. Она создана из ребристой вязки, невероятно мягкой и обеспечивающей комфорт и тепло в течение всего дня. Вы захотите иметь её во всех цветах.
Ребристая акриловая вязка невероятно мягкая и дарит тепло и комфорт на протяжении всего дня.
Удлиненный отворот.</t>
  </si>
  <si>
    <t>1299899-554</t>
  </si>
  <si>
    <t>UA Around Town CGI Beanie</t>
  </si>
  <si>
    <t>1365936-500</t>
  </si>
  <si>
    <t>Толстая трикотажная ткань в рубчик снаружи обеспечивает комфорт и тепло на весь день. В инфракрасной технологии ColdGear используется мягкое теплопроводящее покрытие, которое поглощает и сохраняет тепло вашего тела. Внутренняя флисовая подкладка обеспечивает мягкое ощущение тепла и комфорта.</t>
  </si>
  <si>
    <t>UA Halftime Ribbed Pom-PPL</t>
  </si>
  <si>
    <t>1373098-767</t>
  </si>
  <si>
    <t>Шапка Under Armour фиолетового цвета современного кроя.</t>
  </si>
  <si>
    <t>50% акрил, 28% полиэстер, 22% нейлон</t>
  </si>
  <si>
    <t>UA Halftime Cuff</t>
  </si>
  <si>
    <t>1373155-390</t>
  </si>
  <si>
    <t>Шапка Under Armour Men HALFTIME CUFF — это сочетание практичности и стиля для активных мужчин в холодное время года. Изготовленная из 100% акрила, эта модель гарантирует комфорт и защиту от холода на целый день. Ее классический цвет и ребристая текстура создают универсальный дизайн, который можно легко сочетать с повседневной и спортивной одеждой. Влагоотводящие свойства поддерживают сухость и тепло даже при интенсивной активности, а наличие фирменной нашивки с логотипом подчеркивает оригинальность изделия. Простота ухода за шапкой продлевает срок службы, позволяя наслаждаться комфортом долгие годы.
- Ребристая акриловая ткань эффективно удерживает тепло, создавая барьер от холода, что делает шапку Under Armour Men HALFTIME CUFF идеальной для зимних условий.
- Мягкость материала обеспечивает непревзойденный комфорт в течение всего дня, не раздражая кожу головы.
- Отлично поддерживает ощущения свежести и тепла, что особенно важно при интенсивных нагрузках.
- Подходит для машинной стирки при 30 градусах, что упрощает уход за изделием, сохраняя его внешний вид и функциональные свойства.
- Нашивка с логотипом подчеркивает принадлежность к бренду, известному своим качеством и инновациями.</t>
  </si>
  <si>
    <t>56-60</t>
  </si>
  <si>
    <t>Halftime Cable Knit Beanie</t>
  </si>
  <si>
    <t>1379995-100</t>
  </si>
  <si>
    <t>Мягкий, теплый материал. Подкладка из флиса.</t>
  </si>
  <si>
    <t>M Halftime Pom Beanie</t>
  </si>
  <si>
    <t>1386634-305</t>
  </si>
  <si>
    <t>Шапка Under Armour M Halftime Pom Beanie  — это мужской зимний головной убор из мягкой акриловой вязки с классическим помпоном сверху.
 Изготовлена из высококачественной ребристой акриловой ткани, которая невероятно мягкая и приятная на ощупь.
Обеспечивает эффективную защиту от холода, сохраняя тепло, при этом позволяя коже дышать.
 Материал эффективно отводит пот и очень быстро сохнет, сохраняя голову сухой и теплой.</t>
  </si>
  <si>
    <t>95% акрил, 4% нейлон, 1% эластан</t>
  </si>
  <si>
    <t>UA Storm Fleece-BLK</t>
  </si>
  <si>
    <t>1373120-001</t>
  </si>
  <si>
    <t>Снуд</t>
  </si>
  <si>
    <t>Шарфы</t>
  </si>
  <si>
    <t>Шарф-снуд для бега Under Armour Storm Fleece — это идеальный аксессуар для тренировок на открытом воздухе в холодную погоду. Изготовленный из хлопка и полиэстера, этот снуд обеспечивает тепло и защиту от погодных условий, сохраняя стильный вид. Универсальность снуд позволяет использовать его как шарф, маску или головной убор, адаптируясь к любой ситуации.
- Технология Storm отталкивает воду, позволяя оставаться сухим и комфортным даже в дождливую погоду.
- Флисовая подкладка сохраняет тепло и уют, делая его идеальным для холодных дней.
- Современный крой обеспечивает стильный внешний вид, подходящий как для пробежек, так и для повседневного ношения.
- Легкий и мягкий материал не вызывает раздражения, обеспечивая комфорт в течение всего времени носки.
- Элегантный дизайн делают его отличным дополнением к любому спортивному гардеробу.</t>
  </si>
  <si>
    <t>65% хлопок, 35% полиэстер</t>
  </si>
  <si>
    <t>PJT RCK ULTIMATE 5IN TRN ST E</t>
  </si>
  <si>
    <t>1387773-800</t>
  </si>
  <si>
    <t>Шорты</t>
  </si>
  <si>
    <t>Шорты Under Armour PJT RCK ULTIMATE 5IN TRN ST E созданы для максимального комфорта и свободы движений. Изготовленные из прочной смеси полиэстера и эластана, они обеспечивают легкость и отличную эластичность, что делает их идеальными для любых тренировок. Эти шорты оснащены удобной застежкой-завязкой, позволяющей точно регулировать посадку по талии. Их продуманный дизайн делает их универсальным выбором как для спортивных занятий, так и для повседневной носки.</t>
  </si>
  <si>
    <t>UA Reign Woven Shorts</t>
  </si>
  <si>
    <t>1361515-066</t>
  </si>
  <si>
    <t>Технология UA Storm отталкивает воду, не жертвуя воздухопроницаемостью. Легкая, прочная эластичная ткань, созданная для того, чтобы выдержать самые тяжелые тренировки в тренажерном зале или в воде. Материал 4-way stretch лучше движется во всех направлениях. Новый дизайн ластовицы имеет цельную форму бумеранга для дополнительной мобильности и комфорта. Эластичный пояс с регулируемой застежкой на шнурке в стиле бордшортов для надежной посадки. Надежная застежка-молния Strength Pocket с правой стороны. Боковые разрезы с лазерной обработкой для дополнительной мобильности без утяжеления.</t>
  </si>
  <si>
    <t>Основной материал: 87% полиэстер,13% эластан</t>
  </si>
  <si>
    <t>G Tech Play Up Short</t>
  </si>
  <si>
    <t>1390075-690</t>
  </si>
  <si>
    <t>Детские шорты Under Armour Tech Play Up для девочек предлагают юным спортсменкам удачное сочетание стиля и функциональности. Эти шорты из известной линейки Tech от Under Armour, которая славится своими инновационными и спортивными дизайнерскими решениями. Яркий красный цвет придаёт энергичный вид, идеально подходящий для спортсменок, которые ценят удобство движений, не жертвуя стилем.
Эти шорты специально разработаны с учётом потребностей активных юных спортсменок. Линейка Tech отличается свободой движений и лёгкой конструкцией, благодаря чему шорты идеально подходят для различных видов спорта. Красный цвет легко комбинируется с другой спортивной одеждой. Выбирая эти шорты, вы отдаёте предпочтение функциональному и стильному продукту, который способствует оптимальным спортивным впечатлениям.</t>
  </si>
  <si>
    <t>UA Rival Fleece Shorts</t>
  </si>
  <si>
    <t>1379785-025</t>
  </si>
  <si>
    <t>Ультрамягкий флис из хлопковой смеси с начесом с внутренней стороны для дополнительного тепла. Эластичный пояс в кулиске с внешним шнурком-утяжкой. Открытые боковые карманы и надёжный задний карман на кнопке.
Ультрамягкий флис из хлопковой смеси с начесом с внутренней стороны для дополнительного тепла
• Эластичный пояс в кулиске с внешним шнурком-утяжкой
• Открытые боковые карманы и надёжный задний карман на кнопке</t>
  </si>
  <si>
    <t>UA Tech Woven Short</t>
  </si>
  <si>
    <t>1377264-011</t>
  </si>
  <si>
    <t>Цель коллекции UA Woven — создать идеальный комплект разминки, который поддерживает мышцы в тонусе, подходит для любого вида спорта и при этом компактно складывается, занимая минимум места в сумке, чтобы вы могли брать его с собой куда угодно.
Ультралёгкий, дышащий, но при этом чрезвычайно прочный материал.
Ткань эффективно отводит влагу и очень быстро сохнет.
Пояс на резинке с внутренним шнурком для регулировки посадки.
Открытые карманы для рук.</t>
  </si>
  <si>
    <t>PJT RCK MIDDY SHORT</t>
  </si>
  <si>
    <t>1389712-001</t>
  </si>
  <si>
    <t>Экипировка Project Rock создана, чтобы помочь вам найти свои границы — а затем смело их преодолеть. Эти шорты дышащие, эластичные и обеспечивают поддержку для максимальной производительности.
• Ультрамягкая ткань — дышащая и комфортная
• Материал отводит влагу и очень быстро сохнет
• Четырехсторонняя эластичность обеспечивает свободу движений в любом направлении
• Высокая посадка пояса для лучшего покрытия и поддержки
• Боковые карманы с вертикальным входом
• Технология контроля запахов эффективно снижает появление неприятных запахов</t>
  </si>
  <si>
    <t>PJT RCK ICON FLC SHORT PT BOH</t>
  </si>
  <si>
    <t>1386885-505</t>
  </si>
  <si>
    <t>Шорты Under Armour Pjt Rck Icon Flc Short Pt Boh — это идеальное сочетание комфорта и функциональности для мужчин, ведущих активный образ жизни. Созданные специально для фитнеса, они обеспечивают непревзойдённый комфорт благодаря высокому содержанию хлопка. Состав из хлопка и полиэстера дарит приятную на ощупь текстуру и отличную воздухопроницаемость, что делает шорты идеальными для тренировок и повседневной носки. Эластичная талия с регулируемым шнурком гарантирует отличную посадку и свободу движений. Стильный и лаконичный дизайн позволяет легко сочетать их с различной спортивной одеждой, подчеркивая ваш уникальный стиль. Эти шорты станут надёжным спутником в любых спортивных достижениях.</t>
  </si>
  <si>
    <t>Pjt Rck Middie Short</t>
  </si>
  <si>
    <t>6005086-651</t>
  </si>
  <si>
    <t>Шорты Under Armour  - это женские велосипедки (Pjt Rck Middie Short), плотно облегающие, из смеси полиэстера (82%) и эластана (18%), предназначенные для фитнеса, тренировок, йоги и повседневного ношения, обеспечивая комфорт, свободу движений и влагоотведение благодаря эластичности и технологичным материалам.</t>
  </si>
  <si>
    <t>82% полиэстер, 18% эластан</t>
  </si>
  <si>
    <t>Launch Tulip Short</t>
  </si>
  <si>
    <t>1290875-540</t>
  </si>
  <si>
    <t>Свободная посадка. 
Эластичная ткань обеспечивает превосходный комфорт и износостойкость.  
Материал тянется в 4-х направлениях, позволяя свободно двигаться. 
Супер эластичный пояс. 
Скрытый карман для хранения со встроенным медиа-портом. 
Перекрестные боковые швы с фактурными вставками. 
Внутренний шов: 6 см.</t>
  </si>
  <si>
    <t>Полиэстер</t>
  </si>
  <si>
    <t>UA Tech Taper Short</t>
  </si>
  <si>
    <t>1383154-001</t>
  </si>
  <si>
    <t>Созданы, чтобы двигаться вместе с вашим телом при любых движениях. Мы использовали высокопроизводительную эластичную ткань, растягивающийся пояс и новый обтекаемый крой, чтобы уменьшить сопротивление при каждом ударе и обеспечить полную свободу движений на поле.
• Гладкая эластичная тканая ткань: лёгкая, но износостойкая
• Материал с 4-сторонней растяжкой обеспечивает свободу движений в любом направлении
• Ткань эффективно отводит влагу и очень быстро сохнет
• Плоский передний крой и дизайн с 4 карманами</t>
  </si>
  <si>
    <t>71% эластерелл, 29% полиэстер</t>
  </si>
  <si>
    <t>42</t>
  </si>
  <si>
    <t>1383154-410</t>
  </si>
  <si>
    <t>1379785-001</t>
  </si>
  <si>
    <t>1390075-600</t>
  </si>
  <si>
    <t>HeatGear Shorty</t>
  </si>
  <si>
    <t>6009974-001</t>
  </si>
  <si>
    <t>HeatGear® — это наш оригинальный функциональный базовый слой: то, что вы надеваете первым и снимаете последним. Поэтому мы сделали эти шорты особенно комфортными: они отводят влагу и тянутся, чтобы вы могли двигаться в любых условиях.
Гладкая функциональная ткань HeatGear®: суперлёгкая и дышащая
Материал отводит пот и быстро сохнет
Ткань с растяжением в 4 направлениях обеспечивает свободу движений в любом направлении
Средняя посадка с открытым эластичным поясом и деталью с логотипом-надписью
Обновлённая конструкция ластовицы обеспечивает максимальный комфорт и улучшенную амплитуду движений
Обновлённый дизайн заднего шва для красивой, облегающей посадки по фигуре
Технология контроля запаха эффективно минимизирует неприятные ароматы</t>
  </si>
  <si>
    <t>6009974-600</t>
  </si>
  <si>
    <t>Armour Mid Rise Shorty</t>
  </si>
  <si>
    <t>1360925-782</t>
  </si>
  <si>
    <t>Шорты Under Armour HG Armour Mid Rise Shorts - это идеальный выбор для женщин, которые ищут комфортную и стильную одежду для своих тренировок. Они сочетают в себе высокую функциональность и модный дизайн. Шорты изготовлены из ультра-мягкого, дышащего и прочного материала, который обеспечивает максимальный комфорт в любых условиях. Технология Moisture Transport System отводит влагу от кожи, что позволяет оставаться сухой и комфортной во время интенсивных тренировок. Средняя посадка шорт обеспечивает идеальную посадку на талии, а узкий крой подчеркивает фигуру и добавляет элегантности. Кроме того, шорты имеют эластичный пояс для дополнительного комфорта и удобства. Under Armour HG Armour Mid Rise Shorts - это идеальный выбор для женщин, которые ищут комфорт и стиль в своих тренировках. Наденьте эти шорты и почувствуйте себя уверенно и стильно на тренировках и в повседневной жизни!</t>
  </si>
  <si>
    <t>Tech Play Up Shorts</t>
  </si>
  <si>
    <t>1389882-494</t>
  </si>
  <si>
    <t>UA Tech™ - это наша оригинальная тренировочная одежда: свободная, легкая, сохраняющая прохладу. Это все, что вам нужно. Мягкая, легкая трикотажная ткань обеспечивает превосходный комфорт и воздухопроницаемость. Материал отводит пот и быстро сохнет. Низкий эластичный пояс с обновленным логотипом. Открытые карманы для рук. Формованный подол для более плоской посадки и лучшего диапазона движения.</t>
  </si>
  <si>
    <t>UA LAUNCH 7'' SHORTS</t>
  </si>
  <si>
    <t>1382620-703</t>
  </si>
  <si>
    <t>Завоюйте трассы с несравненным комфортом и стилем в UA LAUNCH 7'' SHORT от Under Armour. Эти спортивные шорты, созданные для достижения высочайших результатов, предлагают оптимальное сочетание легкости, гибкости и воздухопроницаемости. Оснащенные эксклюзивной технологией HeatGear®, шорты обеспечивают исключительную вентиляцию, отводя влагу от тела и поддерживая прохладу даже в самых напряженных моментах вашей тренировки. Встроенные сетчатые панели усиливают циркуляцию воздуха, что делает каждый ваш шаг свежим и освежающим. Длина в 7 дюймов идеально сбалансирована для свободы движений, не сковывая вас при прыжках, рывках и разгоне до максимальных скоростей. Эластичный пояс со встроенной регулируемой шнуровкой обеспечивает надежную фиксацию на вашей талии, подстраиваясь под активные движения без риска соскальзывания. В дизайн UA LAUNCH 7'' SHORT включены боковые карманы с внутренними сетчатыми карманами для мелких предметов, что позволяет всегда держать необходимые вещи под рукой. Отражающие логотипы на шортах не только подчеркивают ваш стильный образ, но и повышают вашу видимость в условиях недостаточного освещения, делая каждый вечерний забег безопаснее. Выберите Under Armour LAUNCH 7'' SHORT для максимальной производительности и стиля, которые будут мотивировать вас на новые рекорды и цели. С этими шортами каждая тренировка пройдет на высшем уровне, а их долговечность и функциональность сделают их незаменимым элементом вашего спортивного гардероба.</t>
  </si>
  <si>
    <t>HG Armour Bike Short</t>
  </si>
  <si>
    <t>1360939-001</t>
  </si>
  <si>
    <t>HeatGear Armor - это наш оригинальный базовый слой одежды, который вы надеваете первым и снимаете последним. Поэтому мы сделали его особенно комфортным. Отводит пот и растягивается, чтобы вы могли двигаться несмотря ни на что. Наше самое легендарное: сверхлегкая ткань HeatGear обеспечивает превосходное покрытие, не отягощая вас. Материал отводит пот и высыхает очень быстро. Растягивающаяся в четырех направлениях конструкция лучше тянется во всех направлениях. Технология защиты от запаха предотвращает рост вызывающих запах микробов. Эргономичные плоские швы обеспечивают комфортнаю посадку без натирания. Эластичный пояс с высокой посадкой для оптимальной посадки и поддержки со встроенным передним карманом. Блестящие вставки для дополнительного эффекта.</t>
  </si>
  <si>
    <t>UA RIVAL TERRY SHORT</t>
  </si>
  <si>
    <t>1361631-390</t>
  </si>
  <si>
    <t>Если вы хотите чувствовать себя комфортно, в тепле и быть всегда наготове, то шорты Rival Terry то, что вам нужно. Шорты станут вашим новым фаворитом. Ткань French Terry имеет гладкий внешний слой и теплый мягкий внутренний слой. Материал эффективно отводит пот и очень быстро сохнет. Эластичный пояс с внешним шнурком. Открытые карманы для рук. Нижний край с необработанной кромкой. Шаговый шов 25 см. Без подкладки.</t>
  </si>
  <si>
    <t>UA Vanish Woven 6in Shorts</t>
  </si>
  <si>
    <t>1373718-466</t>
  </si>
  <si>
    <t>UA LAUNCH PRO 7'' SHORTS</t>
  </si>
  <si>
    <t>1376508-045</t>
  </si>
  <si>
    <t>Спортивные шорты UA Launch Elite 7'' Short от Under Armour — это высокопроизводительная одежда для активных людей, стремящихся к максимальной производительности и комфорту во время занятий спортом. Изготовлены из ультралегкого материала, они не сковывают движения, что позволяет полностью сосредоточиться на беге или тренировке. Семидюймовая длина шорт обеспечивает оптимальное покрытие и свободу, а сетчатые вставки по бокам способствуют лучшей вентиляции и контролю температуры тела. Влагоотводящая технология поддерживает сухость, отводя влагу от кожи, в то время как эластичный пояс с внутренней регулировкой гарантирует идеальную посадку на любую фигуру. Отражающие элементы делают эти шорты безопасным выбором для бега в условиях низкой видимости, а также придают стильный и функциональный вид. Карманы с застежкой удобно расположены для безопасного хранения личных вещей, таких как ключи или мелочи. Идеально сбалансированные по функциональности и стилю, шорты UA Launch Elite 7'' Short являются отличным выбором для спортсменов, ценящих свободу движений, производительность и эстетику в одном флаконе.</t>
  </si>
  <si>
    <t>LAUNCH ELITE 5'' SHORT</t>
  </si>
  <si>
    <t>1376509-001</t>
  </si>
  <si>
    <t>Спортивные шорты Under Armour LAUNCH ELITE 5'' SHORT — это идеальный выбор для бегунов, которые ищут комфортную и функциональную одежду для тренировок. 
Ключевые особенности:
 UA Speedwick технология: отводит влагу от кожи, создавая ощущение сухости и комфорта.
 Легкая и дышащая ткань: обеспечивает хорошую вентиляцию, сохраняя тело сухим и прохладным.
 Эластичный пояс: обеспечивает идеальную посадку и комфорт, не стесняя движений.
 Внутренний шорт-лайнер: обеспечивает дополнительный комфорт и поддержку.
 Карман на молнии: для удобного хранения необходимых мелочей.</t>
  </si>
  <si>
    <t>UA LAUNCH PRO 5'' SHORTS</t>
  </si>
  <si>
    <t>1376509-036</t>
  </si>
  <si>
    <t>1376509-452</t>
  </si>
  <si>
    <t>Спортивные шорты Under Armour LAUNCH ELITE 5'' SHORT — это идеальный выбор для бегунов, которые ищут комфортную и функциональную одежду для тренировок.
Ключевые особенности:
UA Speedwick технология: отводит влагу от кожи, создавая ощущение сухости и комфорта.
Легкая и дышащая ткань: обеспечивает хорошую вентиляцию, сохраняя тело сухим и прохладным.
Эластичный пояс: обеспечивает идеальную посадку и комфорт, не стесняя движений.
Внутренний шорт-лайнер: обеспечивает дополнительный комфорт и поддержку.
Карман на молнии: для удобного хранения необходимых мелочей.</t>
  </si>
  <si>
    <t>UA Peak Woven Shorts</t>
  </si>
  <si>
    <t>1376782-014</t>
  </si>
  <si>
    <t>Отбивайтесь от ударов, как профессионал, в мужских шортах Under Armour Core Stretch. Эти легкие шорты из эластичной ткани имеют открытый эластичный пояс с вентиляционной сеткой и внутренним шнурком, боковые карманы с дополнительным правым карманом на молнии, лазерную перфорацию по краю сзади для дополнительной воздухопроницаемости, фигурный низ с боковыми вентиляционными отверстиями и систему теплопередачи Under Armour. логотип на правой стороне.</t>
  </si>
  <si>
    <t>LAUNCH ELITE 2in1 7'' SHORT</t>
  </si>
  <si>
    <t>1376831-001</t>
  </si>
  <si>
    <t>Шорты LAUNCH ELITE 2in1 7'' SHORT - это идеальный выбор для бегунов любого уровня, которые хотят максимального комфорта и функциональности. 
Преимущества:
Легкий и дышащий материал: Обеспечивает максимальный комфорт и прохладу во время бега.
 Двойная конструкция: Внутренние шорты из дышащего материала обеспечивают поддержку и комфорт, а внешние шорты из легкой ткани отводят влагу и обеспечивают свободу движений.
 7-дюймовая длина: Оптимальная длина для максимальной свободы движений и комфорта.
 Карманы: Два боковых кармана на внешних шортах для хранения ключей, телефона или других мелочей.
Встроенный эластичный пояс с внешним шнурком.
Светоотражающие элементы для пробежек в условиях плохой освещенности.
Обновленный центральный задний карман с возможностью расширения водонепроницаем и надежно защищает ваш телефон, исключая его падение.</t>
  </si>
  <si>
    <t>UA Icon Volley Short</t>
  </si>
  <si>
    <t>1377191-300</t>
  </si>
  <si>
    <t>Шорты Under Armour UA Icon Volley Short — это универсальная модель, сочетающая в себе классический спортивный стиль и современные технологии. Они идеально подходят для активного отдыха, тренировок и повседневной носки. 
Преимущества:
Лёгкость и быстросохнущие свойства материала делают шорты идеальными для летних тренировок и отдыха.
Сетчатая подкладка повышает воздухопроницаемость, обеспечивая комфорт даже в жаркую погоду.
Эластичный пояс с шнурком позволяет индивидуально настроить посадку.
Два открытых боковых кармана и один задний карман с застёжкой на кнопку для безопасного хранения мелких предметов.
Материал: 100% полиэстер — прочная ткань, которая быстро сохнет и обеспечивает лёгкость при носке.
Шорты Under Armour UA Icon Volley Short — отличный выбор для тех, кто ценит комфорт, функциональность и стиль в повседневной и спортивной одежде. Они подходят для различных видов активности, включая бег, тренировки в зале и прогулки на свежем воздухе.</t>
  </si>
  <si>
    <t>1377264-425</t>
  </si>
  <si>
    <t>1377264-712</t>
  </si>
  <si>
    <t>1377264-870</t>
  </si>
  <si>
    <t>UA Peak Woven 2in1 Sts</t>
  </si>
  <si>
    <t>1378604-001</t>
  </si>
  <si>
    <t>Мужские шорты Under Armour UA Peak Woven 2in1 Sts созданы для тех, кто ценит комфорт и функциональность в одежде для спорта. Выполненные из сочетания полиэстера и эластана, они обеспечивают превосходную эластичность и свободу движений, что особенно важно во время интенсивных тренировок. Встроенные практичные карманы позволяют удобно хранить мелкие предметы, такие как ключи или телефон. Шорты также оснащены завязкой-застежкой, что гарантирует надежную фиксацию на талии и идеальную посадку. Эти шорты отлично вписываются в активный образ жизни, обеспечивая комфорт и стиль каждый день.</t>
  </si>
  <si>
    <t>UA Vanish Seamless Short</t>
  </si>
  <si>
    <t>1379151-466</t>
  </si>
  <si>
    <t>Under Armour Train Seamless Short дарят вам легкость и свободу движений. Эти шорты, изготовленные из 100% полиэстера, являются идеальным вариантом для тренировок благодаря своим великолепным характеристикам. Они идеально сочетают функциональность и стиль, делая их отличным дополнением к вашему фитнес-гардеробу.
- Легкий материал с влаговыводящими свойствами поддерживает сухость и комфорт даже во время интенсивных упражнений.
- Технология 4-Way Stretch обеспечивает максимальное соответствие форму тела, улучшая мобильность и комфорт движений.
- Легкая компрессия поддерживает основные группы мышц, уменьшая усталость и повышая эффективность тренировки.
- Эластичный пояс гарантирует удобную и надежную посадку, не сковывая движения.
- Шорты без швов предотвращают раздражение, улучшая комфорт при долгих тренировках.</t>
  </si>
  <si>
    <t>UA Unstoppable Flc Shorts</t>
  </si>
  <si>
    <t>1379809-348</t>
  </si>
  <si>
    <t>Разминка, которую невозможно остановить.
Созданная для высоких результатов — с мягкой и эластичной тканью, которая приятна к телу, пропускает воздух и повторяет каждое ваше движение. Вы всегда будете готовы выйти на площадку.
Двусторонняя ткань — мягкая, тянущаяся и дышащая, обеспечивает максимальный комфорт и свободу движений.
Материал отводит пот и быстро высыхает.
Ткань с 4-сторонней растяжимостью — обеспечивает свободу движений в любом направлении.
Утягивающий пояс на резинке со шнурком внутри — для плотной и удобной посадки.
Открытые боковые карманы — для рук, и безопасный карман на молнии — для хранения мелочей.</t>
  </si>
  <si>
    <t>1379809-466</t>
  </si>
  <si>
    <t>UA Essential Fleece Shorts</t>
  </si>
  <si>
    <t>1380377-012</t>
  </si>
  <si>
    <t>Когда холодный ветер начинает пронизывать городские улицы или когда нужен надежный компаньон для прохладных вечеров — эти шорты становятся вашим тихим героем. Черный цвет, как вечная классика, окутывает их благородным покровом. Он глубокий, матовый, словно тень, которая следует за вами повсюду, не выделяясь, но подчеркивая вашу уверенность.
Свободный крой дарит ощущение безграничной свободы. Никаких ограничений, только плавные движения и легкость бытия. Эти шорты созданы для тех, кто ценит комфорт, будь то расслабленные выходные дома или неспешные прогулки по парку. В них вы чувствуете себя так, будто на вас вообще ничего нет — это свобода, которую можно носить.
Флисовая подкладка — вот где скрывается магия этих шорт. Она мягкая, как объятия старого друга, согревает в моменты прохлады и создает ощущение уюта даже в самый холодный день. Это не просто материал, это технология, которая заботится о вас, сохраняя тепло вашего тела и отталкивая холод. Каждое прикосновение флиса — это напоминание о том, что иногда простые вещи могут приносить самое большое удовольствие.
Открытые карманы добавляют практичности этому изделию. Они удобны, функциональны и готовы принять всё необходимое: ключи, телефон или просто ваши руки, когда хочется спрятать их от холода. Карманы здесь не просто деталь — они часть общей гармонии, которая делает эти шорты универсальными.
Эти шорты — выбор тех, кто знает, что комфорт и стиль могут идти рука об руку. Они не кричат о себе, они просто есть. Без лишних слов, без излишеств. Просто черный цвет, свободный крой и флисовая нежность внутри. Они говорят о вас: вы тот, кто ценит качество, выбирает практичность и предпочитает быть собой, не стараясь произвести впечатление.
Under Armour Icon Fleece — это больше, чем одежда. Это состояние комфорта, уверенности и стиля, которое вы носите с собой каждый день.</t>
  </si>
  <si>
    <t>1382620-712</t>
  </si>
  <si>
    <t>1383154-014</t>
  </si>
  <si>
    <t>38</t>
  </si>
  <si>
    <t>UA TRAIL RUN 5'' SHORTS</t>
  </si>
  <si>
    <t>1383236-279</t>
  </si>
  <si>
    <t>Шорты Under Armour UA Trail Run 5'' Shorts  — это идеальный выбор для бега по пересеченной местности.  Легкая и дышащая ткань  обеспечивает комфорт даже при интенсивных тренировках.  Эргономичный крой не сковывает движения, позволяя свободно преодолевать любые препятствия на вашем пути.  Удобные карманы для хранения мелочей – телефон, ключи, энергетический гель – позволят вам сосредоточиться на пробежке.  Технологии Under Armour гарантируют отвод влаги и быстрое высыхание, сохраняя вас сухими и комфортными на протяжении всей тренировки.  Эти шорты – ваш верный спутник на любой беговой тропе.</t>
  </si>
  <si>
    <t>UA Woven Wdmk Shorts</t>
  </si>
  <si>
    <t>1383356-025</t>
  </si>
  <si>
    <t>Спортивные шорты UA Woven Wdmk Shorts представляют собой эталон атлетической функциональности, вдохновленный стремлением Under Armour к инновациям, удобству и стилю. Эти шорты созданы для людей, ведущих активный образ жизни и ценящих свободу движений в любой ситуации.
Легкий и прочный тканевый материал этих шорт не только обеспечивает высокую износостойкость, но и гарантирует отличную воздухопроницаемость, что необходимо во время интенсивных тренировок или длительного нахождения на открытом воздухе. Благодаря специфической технологии ткани, шорты быстро сохнут, а значит, в них будет комфортно заниматься даже в самую жаркую погоду.
Удобный эластичный пояс с внутренней регулировкой делает эти шорты идеально подходящими для любой фигуры, обеспечивая надежную, но не стесняющую фитнес-активности посадку. Внешне дизайн дополнен лаконичным лого Under Armour, что добавляет шортам спортивного шика и узнаваемости бренда</t>
  </si>
  <si>
    <t>UA Tech Woven Wordmark Short</t>
  </si>
  <si>
    <t>1383356-870</t>
  </si>
  <si>
    <t>UA Fly Fast 6" Short</t>
  </si>
  <si>
    <t>1383418-001</t>
  </si>
  <si>
    <t>Under Armour UA Fly Fast 6" Short  — лёгкие и функциональные шорты, созданные для бега и интенсивных тренировок. Быстросохнущий материал эффективно отводит влагу, а эластичная ткань с 4-сторонней растяжимостью обеспечивает полную свободу движений. Удобный пояс со шнурком гарантирует надёжную посадку, а длина 6 дюймов делает модель комфортной и универсальной для любых спортивных нагрузок. Идеальный выбор для максимального комфорта во время тренировки.</t>
  </si>
  <si>
    <t>PJT ROCK ULTIMATE 5 ST PT</t>
  </si>
  <si>
    <t>1384203-810</t>
  </si>
  <si>
    <t>Спортивные мужские шорты PJT ROCK ULTIMATE 5 ST PT — это сочетание функциональности и стиля, идеально подходящее для тренировок и активного отдыха. Они изготовлены из высококачественных материалов, обеспечивающих комфорт и долговечность даже при интенсивных физических нагрузках. Эти шорты обладают отличной воздухопроницаемостью, что помогает сохранять свежесть и комфорт на протяжении всей тренировки. Дизайн шорт максимально приспособлен для свободы движений, что делает их идеальными для различных видов спорта. Эластичный пояс обеспечивает идеальную посадку и дополнительное удобство. Шорты имеют практичные карманы, которые позволяют удобно хранить мелкие предметы. Идеальный выбор для тех, кто ценит качество и стиль в спортивной одежде.</t>
  </si>
  <si>
    <t>PJT ROCK ULT 5IN TRAIN SHORT</t>
  </si>
  <si>
    <t>1384217-410</t>
  </si>
  <si>
    <t>Шорты PJT ROCK ULT 5IN TRAIN SHORT – это воплощение высочайшего качества, функциональности и современного дизайна, созданные для самых интенсивных тренировок и повседневной активности. Разработанные в сотрудничестве с Двейном "Скалой" Джонсоном, эти шорты вдохновят вас на достижение новых высот, объединяя силу и стиль в одном изделии.
- Материал: Высококачественная ткань, сочетающая в себе легкость и прочность, помогает сохранять прохладу и комфорт во время тренировок. Технология отвода влаги быстро удаляет пот, обеспечивая сухость и свежесть в любых условиях. Материал также обладает устойчивостью к растяжению и сохраняет форму даже после многократных стирок.
- Дизайн: Продуманный крой учитывает особенности движения тела, обеспечивая максимальную свободу и комфорт. Внутренняя длина шорт составляет 5 дюймов (12,7 см), что обеспечивает оптимальный баланс между мобильностью и прикрытием. Эластичный пояс с регулируемым шнурком позволяет добиться идеальной посадки, обеспечивая надежную фиксацию на талии.
- Функциональные детали: Два боковых кармана на молнии предлагают удобное и безопасное место для хранения мелочей, таких как ключи или телефон, что особенно важно во время тренировок. Вентиляционные отверстия и вставки из сетчатой ткани способствуют улучшенной вентиляции, предотвращая перегрев.
- Лого и вдохновение: Шорты украшены культовым логотипом Project Rock, символизирующим силу воли и стремление к совершенству. Этот элемент придает шортам уникальный вид и добавляет мотивации каждому вашему движению.
- Универсальность: Эти шорты идеально подходят для самых разных видов активности – от интенсивных тренировок в зале до бега или спортивных игр на открытом воздухе. Они также отлично вписываются в повседневный гардероб, добавляя нотку спортивного стиля и функциональности.
Шорты PJT ROCK ULT 5IN TRAIN SHORT – это идеальный выбор для тех, кто ищет сочетание качества, комфорта и стиля. Наденьте их и дайте себе возможность сосредоточиться на самом важном – достижении своих целей и преодолении новых рубежей!</t>
  </si>
  <si>
    <t>1384217-505</t>
  </si>
  <si>
    <t>UA Vibe Woven Cargo Short</t>
  </si>
  <si>
    <t>1386560-289</t>
  </si>
  <si>
    <t>Технология UA Storm отталкивает воду, не нарушая воздухопроницаемости Легкая эластичная ткань обеспечивает превосходный комфорт и долговечность Эластичный материал с 4-сторонним растяжением перемещается во всех направлениях Эластичный пояс с внешней завязкой Открытые карманы для рук, задний карман на кнопке и карманы для грузов с клапанами Используется водоотталкивающее средство, не содержащее фтора Основная ткань содержит не менее 80% переработанного полиэстера, за исключением отделки и украшений</t>
  </si>
  <si>
    <t>UA Vanish Shorts</t>
  </si>
  <si>
    <t>1389171-001</t>
  </si>
  <si>
    <t>Если в названии указано UA Vanish, это значит, что перед вами один из наших самых быстро сохнущих материалов. Эти изделия невероятно лёгкие, прочные, дышащие и сохнут очень быстро, помогая вам оставаться прохладными.
Основные особенности:
Лёгкая стретч-ткань плотного плетения обеспечивает превосходную свободу движений и износостойкость
Материал с 4-сторонней растяжкой свободно двигается в любом направлении
Сетчатые вставки для дополнительной воздухопроницаемости
Частично открытая эластичная резинка на поясе сзади
Открытые боковые карманы для рук</t>
  </si>
  <si>
    <t>1389171-203</t>
  </si>
  <si>
    <t>1389171-425</t>
  </si>
  <si>
    <t>1389171-498</t>
  </si>
  <si>
    <t>UA Run 96 Short</t>
  </si>
  <si>
    <t>1389569-001</t>
  </si>
  <si>
    <t>Представляем женские беговые шорты UA Run 96 от Under Armour — идеальное сочетание стиля и функциональности, созданное специально для женщин, которые любят бегать. Эти яркие оранжевые шорты изготовлены из высококачественной ткани, состоящей из 75% полиэстера и 25% эластана, обеспечивая плотную, но при этом гибкую посадку, которая движется вместе с вами.
Продвинутые технологии:
Четырёхсторонняя растяжка: Обеспечивает свободу движений и сохраняет форму.
Система отвода влаги: Отводит пот, оставляя кожу сухой и комфортной.
Защита от запаха: Предотвращает размножение бактерий, вызывающих неприятный запах, сохраняя свежесть.
Дизайн для высоких результатов:
Воздупропускаемость: Обеспечивает циркуляцию воздуха для максимального комфорта.
Светоотражающие элементы: Повышают видимость во время пробежек в условиях слабого освещения.
Облегающий крой: Повторяет контуры тела, создавая стройный и подтянутый силуэт.
Независимо от того, бежите ли вы по беговой дорожке или по пересечённой местности, шорты UA Run 96 станут вашим идеальным спутником для мощной и стильной пробежки. Ощутите на себе высший уровень комфорта и производительности с этими незаменимыми беговыми шортами.</t>
  </si>
  <si>
    <t>75% полиэстер, 25% эластан</t>
  </si>
  <si>
    <t>1389569-847</t>
  </si>
  <si>
    <t>1389712-299</t>
  </si>
  <si>
    <t>PJT RCK TERRY SHORT</t>
  </si>
  <si>
    <t>1389713-299</t>
  </si>
  <si>
    <t>Лёгкая махровая ткань с гладким внешним слоем и мягким, согревающим внутренним слоем.
Материал не задерживает влагу и очень быстро сохнет.
Скрытый эластичный пояс с внешним шнурком-утяжкой.
Имеются открытые боковые карманы для рук.</t>
  </si>
  <si>
    <t>UA RUN 96 SHORTS</t>
  </si>
  <si>
    <t>1389831-847</t>
  </si>
  <si>
    <t>Коллекция Run 96 вдохновлена 1996 годом — годом основания компании Under Armour. Благодаря функциональным технологиям и ретро-дизайнам, эти шорты являются незаменимыми для бегунов любого уровня.
Технология UA Storm отталкивает воду, не нарушая воздухопроницаемости
Ткань с текстурированной поверхностью и защитой от разрывов легкая и чрезвычайно прочная
Внутренняя сетчатая подкладка обеспечивает дополнительную фиксацию и поддержку
Упругий пояс с внутренним шнурком
Безопасные карманы на молнии с внутренним карманом для телефона справа
Закругленный низ с контрастной отделкой
Свободный крой: более просторный для максимального комфорта
Отражающий тканевый логотип
Длина внутреннего шва: 3 дюйма
Карманы: да</t>
  </si>
  <si>
    <t>1389882-001</t>
  </si>
  <si>
    <t>1389882-002</t>
  </si>
  <si>
    <t>1389882-025</t>
  </si>
  <si>
    <t>PJT RCK ICON FLC SHORT</t>
  </si>
  <si>
    <t>1389918-989</t>
  </si>
  <si>
    <t>Тренируйся усердно каждый день в мужских тренировочных шортах Under Armour Project Rock Icon Fleece. Мужские тренировочные шорты обладают невероятно мягким материалом и эластичным поясом с шнурком, обеспечивающим идеальную посадку.</t>
  </si>
  <si>
    <t>PJT RCK COLORBLOCK WVN SHORT</t>
  </si>
  <si>
    <t>1389919-001</t>
  </si>
  <si>
    <t>Тренировочная экипировка Project Rock создана для самых трудолюбивых в зале. Эта футболка с принтом обеспечивает комфорт, быстро сохнет и украшена фирменным девизом Дуэйна Джонсона.
Сверхлёгкая, прочная ткань с эластичным плетением, разработанная для самых интенсивных тренировок
Материал с четырёхсторонней растяжкой обеспечивает свободу движений в любом направлении
Вшитая резинка на талии с внутренним шнурком для регулировки
Открытые карманы для рук</t>
  </si>
  <si>
    <t>1390075-002</t>
  </si>
  <si>
    <t>1390075-870</t>
  </si>
  <si>
    <t>UA Unstoppable Utility Short</t>
  </si>
  <si>
    <t>1390257-001</t>
  </si>
  <si>
    <t>Шорты Under Armour UA Unstoppable Utility Short — это сочетание стиля, комфорта и функциональности. Они выполнены из высококачественного материала, который обеспечивает прочность и долговечность. Прямой крой шорт придаёт им универсальный вид, подходящий как для занятий спортом, так и для повседневной носки. Боковые карманы добавляют практичности, позволяя хранить мелкие предметы всегда под рукой. Застежка пояса на завязке обеспечивает индивидуальную подгонку и надежную фиксацию, удобно адаптируясь под разные формы тела. Эти шорты отлично подходят для активного отдыха, тренировок и повседневного использования, предлагая свободу движений и стильный внешний вид. Благодаря вниманию к деталям и качеству, они станут незаменимой частью вашего гардероба.</t>
  </si>
  <si>
    <t>1390257-251</t>
  </si>
  <si>
    <t>UA Tech Play Up 2n1 Short</t>
  </si>
  <si>
    <t>6004985-005</t>
  </si>
  <si>
    <t>Каждому нужна идеальная пара шорт для тренировок. Эти универсальные шорты 2-в-1 с боковыми карманами и мягким, гладким поясом — именно то, что нужно.
Мягкая, лёгкая трикотажная ткань внешних шорт обеспечивает превосходный комфорт и воздухопроницаемость
Встроенные внутренние шорты с технологией HeatGear® эластичны, дышат и быстро сохнут
Мягкий эластичный пояс с контрастным логотипом-надписью
Просторные боковые карманы для рук</t>
  </si>
  <si>
    <t>6004985-466</t>
  </si>
  <si>
    <t>6004985-600</t>
  </si>
  <si>
    <t>100% полиэстер, внутренние шорты: 84% полиэстер, 16% эластан</t>
  </si>
  <si>
    <t>6005086-002</t>
  </si>
  <si>
    <t>Pjt Rock Ultimate Short</t>
  </si>
  <si>
    <t>6007178-035</t>
  </si>
  <si>
    <t>Шорты Under Armour  (PJT Rock Ultimate Short) – это мужские спортивные шорты для тренировок, выполненные из смеси полиэстера (88%) и эластана (12%) (состав 88% Polyester, 12% Elastane), обеспечивающие комфорт, свободу движений и влагоотведение благодаря эластичности и быстросохнущему материалу, идеальны для фитнеса, поднятия тяжестей (линейка Project Rock) и активных занятий спортом, а код цвета указывает на розовый или фуксия оттенок</t>
  </si>
  <si>
    <t>6007178-651</t>
  </si>
  <si>
    <t>UA Unstoppable Woven Shorts</t>
  </si>
  <si>
    <t>6009361-001</t>
  </si>
  <si>
    <t>Всегда на высоте — эти шорты выполнены из нашей самой технологичной тканой материи, которая отталкивает воду, растягивается, когда это нужно, и обладает невероятной прочностью. Поэтому, выходя на улицу, вы можете делать это с уверенностью.
Технология UA Storm отталкивает воду, не жертвуя воздухопроницаемостью
Эластичная тканая основа: лёгкая, прочная и свободно движется вместе с вами
Материал отводит влагу и очень быстро сохнет
Ткань с растяжением в 4 направлениях обеспечивает свободу движений в любом направлении
Скрытый эластичный пояс со внутренним шнурком для регулировки
Открытые боковые карманы, задний карман на кнопке и вместительный грузовой карман на молнии
Свободный крой по всей длине, длина до середины бедра
Используется водоотталкивающая пропитка без содержания фтора</t>
  </si>
  <si>
    <t>6009361-466</t>
  </si>
  <si>
    <t>Unstoppable Airvent Sts</t>
  </si>
  <si>
    <t>6009364-069</t>
  </si>
  <si>
    <t>96% нейлон, 4% эластан</t>
  </si>
  <si>
    <t>UA BCL 6" Fitted Short</t>
  </si>
  <si>
    <t>6009498-025</t>
  </si>
  <si>
    <t>HeatGear® — это наш оригинальный функциональный базовый слой: то, что вы надеваете первым и снимаете последним. Поэтому мы сделали эти шорты особенно комфортными: они отводят влагу и тянутся, чтобы вы могли бегать в любых условиях.
Суперлёгкая, мягкая ткань HeatGear® обеспечивает превосходную защиту, не утяжеляя вас
Материал отводит пот и очень быстро сохнет
Ткань с растяжением в 4 направлениях обеспечивает свободу движений в любом направлении
Увеличенное количество лазерных перфораций для улучшенной циркуляции воздуха
Скрытый эластичный пояс обновлённой высоты для повышенного комфорта и снижения веса, с внутренним шнурком для регулировки
Боковые прорезные карманы
Светоотражающие элементы для лучшей видимости при пробежках в условиях слабой освещённости
Технология контроля запаха эффективно минимизирует неприятные ароматы</t>
  </si>
  <si>
    <t>77% полиэстер , 23% эластан</t>
  </si>
  <si>
    <t>UA BCL REFLCT 7in Short</t>
  </si>
  <si>
    <t>6009519-713</t>
  </si>
  <si>
    <t>Лёгкая, износостойкая и комфортная тканая материя
🔹 Сетчатая подкладка — обеспечивает дополнительную защиту и надёжную поддержку
🔹 Влагоотводящий материал с быстрым высыханием — эффективно отводит пот и быстро сохнет, сохраняя комфорт во время тренировок
🔹 Встроенный эластичный пояс с внутренним шнурком-утяжкой для идеальной посадки
🔹 Открытые боковые карманы для рук с дополнительным внутренним карманом справа для смартфона
🔹 Закруглённый нижний край с боковыми разрезами и контрастной окантовкой для свободы движений и стильного вида
🔹 Светоотражающие элементы — улучшают видимость в условиях слабой освещённости
🔹 Облегающая посадка (Slim Fit) — лаконичный крой, который не слишком тесный, но и не свободный: идеален для активных движений</t>
  </si>
  <si>
    <t>UA BCL Pro 3" Shorts</t>
  </si>
  <si>
    <t>6009612-703</t>
  </si>
  <si>
    <t>UA BCL Pro 3" Shorts — женские беговые шорты Under Armour 3 дюйма, голубые.
Женские шорты Under Armour UA BCL Pro 3" Shorts в голубом цвете — разработаны для бега и динамичных тренировок. Укороченная длина 3 дюйма (около 7 см) обеспечивает максимальную свободу движений ног.
Ультралёгкая ткань (88% полиэстер, 12% эластан) с технологией UA Iso-Chill эффективно отводит влагу. Встроенные трусы обеспечивают комфорт и надёжную фиксацию. Широкий эластичный пояс со шнурком для регулировки. Голубой цвет добавляет яркости любому спортивному образу. Незаменимы для летних пробежек и тренировок в зале.
Материал: 88% полиэстер, 12% эластан.</t>
  </si>
  <si>
    <t>UA Vanish Woven Short DC</t>
  </si>
  <si>
    <t>6009865-425</t>
  </si>
  <si>
    <t>UA M Challenger Train Short</t>
  </si>
  <si>
    <t>6009896-100</t>
  </si>
  <si>
    <t>Icon Wvn Heritage Short</t>
  </si>
  <si>
    <t>6009947-498</t>
  </si>
  <si>
    <t>Icon Wvn Heritage Short — женские тканевые шорты Under Armour для бега
Женские шорты Under Armour Icon Wvn Heritage Short в насыщенном синем цвете — лёгкие и функциональные шорты для бега, фитнеса и активного отдыха. Тканый полиэстер (100%) обеспечивает надёжность и быстрое высыхание.
Эластичный пояс со шнурком позволяет регулировать посадку. Лёгкая конструкция не сковывает движения при беге и динамичных тренировках. Боковые карманы для телефона или ключей. Встроенные трусы обеспечивают дополнительный комфорт. Стильный синий цвет выгодно подчёркивает спортивный образ.
Материал: 100% полиэстер.</t>
  </si>
  <si>
    <t>Tech Vent 7in Shorts NEW</t>
  </si>
  <si>
    <t>6010858-410</t>
  </si>
  <si>
    <t>Идеальные шорты для самых жарких тренировочных дней — свободные, лёгкие и с вентиляционными сетчатыми вставками по всей поверхности для максимальной воздухопроницаемости. Кроме того, ткань с растяжением в 4 направлениях означает, что вам никогда не придётся сбавлять темп.
Гладкая функциональная трикотажная ткань: суперлёгкая, дышащая и комфортная
Сетчатые боковые вставки для дополнительной воздухопроницаемости
Ткань с растяжением в 4 направлениях обеспечивает свободу движений в любом направлении
Материал отводит влагу и очень быстро сохнет
Скрытый эластичный пояс со внутренним шнурком для регулировки
Открытые боковые карманы
Боковые вентиляционные разрезы по нижнему краю
Технология контроля запаха эффективно минимизирует неприятные ароматы</t>
  </si>
  <si>
    <t>Seamless Cotton Shorty</t>
  </si>
  <si>
    <t>6011164-008</t>
  </si>
  <si>
    <t>Ничто не сможет вас остановить в этих шортах. Эта модель изготовлена без швов в местах, где это наиболее важно, чтобы снизить трение. Кроме того, они чрезвычайно воздухопроницаемы и комфортны благодаря мягкой хлопковой ткани.
Особенности:
Сверхмягкая бесшовная хлопковая ткань легкая и движется вместе с вами, обеспечивая комфорт в течение всего дня
Эластичный материал с растяжкой в 4 направлениях обеспечивает свободу движений в любом направлении
Прочный и комфортный пояс</t>
  </si>
  <si>
    <t>67% хлопок, 26% нейлон, 7% эластан</t>
  </si>
  <si>
    <t>UA Next Gen Short</t>
  </si>
  <si>
    <t>6011370-014</t>
  </si>
  <si>
    <t>Эти сетчатые шорты дышащие и легкие, что поможет вам оставаться в прохладе и сухости на корте.
Детали:
Легкая сетчатая ткань с открытыми порами дышащая и прочная
Материал отводит пот и очень быстро сохнет
Эластичный пояс с внутренним шнурком
Открытые боковые карманы
Логотип Triple Stack</t>
  </si>
  <si>
    <t>6011370-016</t>
  </si>
  <si>
    <t>Motion Skort</t>
  </si>
  <si>
    <t>1387538-002</t>
  </si>
  <si>
    <t>Юбка-шорты</t>
  </si>
  <si>
    <t>Юбки и платья</t>
  </si>
  <si>
    <t>Эта специально разработанная ткань обладает уникальной мягкостью и при этом впитывает пот. Она легкая, дышащая и готова к любой активности.
Ткань с мягкой сетчатой структурой обеспечивает дышащий комфорт и приятна на ощупь.
Ткань с растяжением во всех четырех направлениях.
Внутренние шорты для дополнительного покрытия и поддержки.
Широкий пояс с внутренней резинкой.
Боковой карман во внутренних шортах.
Технология контроля запахов минимизирует их появление.
Длина шагового шва (внутренние шорты): 5 см (2 дюйма).</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</si>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</sst>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4">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0" fillId="0" borderId="1" xfId="0"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164" fontId="0" fillId="3" borderId="1" xfId="0" applyNumberForma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2" fontId="1" fillId="0" borderId="6" xfId="0" applyNumberFormat="1" applyFont="1" applyBorder="1" applyAlignment="1">
      <alignment horizontal="center" vertical="top"/>
    </xf>
    <xf numFmtId="0" fontId="4" fillId="0" borderId="2" xfId="0" applyFont="1" applyBorder="1" applyAlignment="1">
      <alignment horizontal="center" vertical="top"/>
    </xf>
    <xf numFmtId="0" fontId="1" fillId="3" borderId="6" xfId="0" applyFont="1" applyFill="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4DB5-44C2-BA85-63110DA3EBE7}"/>
            </c:ext>
          </c:extLst>
        </c:ser>
        <c:dLbls>
          <c:dLblPos val="outEnd"/>
          <c:showLegendKey val="0"/>
          <c:showVal val="1"/>
          <c:showCatName val="0"/>
          <c:showSerName val="0"/>
          <c:showPercent val="0"/>
          <c:showBubbleSize val="0"/>
        </c:dLbls>
        <c:gapWidth val="100"/>
        <c:axId val="498171688"/>
        <c:axId val="243227744"/>
      </c:barChart>
      <c:catAx>
        <c:axId val="49817168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243227744"/>
        <c:crosses val="autoZero"/>
        <c:auto val="1"/>
        <c:lblAlgn val="ctr"/>
        <c:lblOffset val="100"/>
        <c:noMultiLvlLbl val="0"/>
      </c:catAx>
      <c:valAx>
        <c:axId val="24322774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98171688"/>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6633-4C75-923C-773F1FD439C4}"/>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6633-4C75-923C-773F1FD439C4}"/>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6633-4C75-923C-773F1FD439C4}"/>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6633-4C75-923C-773F1FD439C4}"/>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11FC-4D34-AA29-C81326D82109}"/>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1" Type="http://schemas.openxmlformats.org/officeDocument/2006/relationships/image" Target="../media/image21.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987" Type="http://schemas.openxmlformats.org/officeDocument/2006/relationships/image" Target="../media/image987.png"/><Relationship Id="rId1172" Type="http://schemas.openxmlformats.org/officeDocument/2006/relationships/image" Target="../media/image1172.png"/><Relationship Id="rId402" Type="http://schemas.openxmlformats.org/officeDocument/2006/relationships/image" Target="../media/image402.png"/><Relationship Id="rId847" Type="http://schemas.openxmlformats.org/officeDocument/2006/relationships/image" Target="../media/image847.png"/><Relationship Id="rId1032" Type="http://schemas.openxmlformats.org/officeDocument/2006/relationships/image" Target="../media/image1032.png"/><Relationship Id="rId707" Type="http://schemas.openxmlformats.org/officeDocument/2006/relationships/image" Target="../media/image707.png"/><Relationship Id="rId914" Type="http://schemas.openxmlformats.org/officeDocument/2006/relationships/image" Target="../media/image914.png"/><Relationship Id="rId43" Type="http://schemas.openxmlformats.org/officeDocument/2006/relationships/image" Target="../media/image43.png"/><Relationship Id="rId192" Type="http://schemas.openxmlformats.org/officeDocument/2006/relationships/image" Target="../media/image192.png"/><Relationship Id="rId497" Type="http://schemas.openxmlformats.org/officeDocument/2006/relationships/image" Target="../media/image497.png"/><Relationship Id="rId357" Type="http://schemas.openxmlformats.org/officeDocument/2006/relationships/image" Target="../media/image357.png"/><Relationship Id="rId1194" Type="http://schemas.openxmlformats.org/officeDocument/2006/relationships/image" Target="../media/image119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1054" Type="http://schemas.openxmlformats.org/officeDocument/2006/relationships/image" Target="../media/image1054.png"/><Relationship Id="rId1261" Type="http://schemas.openxmlformats.org/officeDocument/2006/relationships/image" Target="../media/image1261.png"/><Relationship Id="rId936" Type="http://schemas.openxmlformats.org/officeDocument/2006/relationships/image" Target="../media/image936.png"/><Relationship Id="rId1121" Type="http://schemas.openxmlformats.org/officeDocument/2006/relationships/image" Target="../media/image1121.png"/><Relationship Id="rId1219" Type="http://schemas.openxmlformats.org/officeDocument/2006/relationships/image" Target="../media/image1219.png"/><Relationship Id="rId65" Type="http://schemas.openxmlformats.org/officeDocument/2006/relationships/image" Target="../media/image65.png"/><Relationship Id="rId281" Type="http://schemas.openxmlformats.org/officeDocument/2006/relationships/image" Target="../media/image281.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1076" Type="http://schemas.openxmlformats.org/officeDocument/2006/relationships/image" Target="../media/image1076.png"/><Relationship Id="rId1283" Type="http://schemas.openxmlformats.org/officeDocument/2006/relationships/image" Target="../media/image1283.png"/><Relationship Id="rId306" Type="http://schemas.openxmlformats.org/officeDocument/2006/relationships/image" Target="../media/image306.png"/><Relationship Id="rId860" Type="http://schemas.openxmlformats.org/officeDocument/2006/relationships/image" Target="../media/image860.png"/><Relationship Id="rId958" Type="http://schemas.openxmlformats.org/officeDocument/2006/relationships/image" Target="../media/image958.png"/><Relationship Id="rId1143" Type="http://schemas.openxmlformats.org/officeDocument/2006/relationships/image" Target="../media/image1143.png"/><Relationship Id="rId87" Type="http://schemas.openxmlformats.org/officeDocument/2006/relationships/image" Target="../media/image87.png"/><Relationship Id="rId513" Type="http://schemas.openxmlformats.org/officeDocument/2006/relationships/image" Target="../media/image513.png"/><Relationship Id="rId720" Type="http://schemas.openxmlformats.org/officeDocument/2006/relationships/image" Target="../media/image720.png"/><Relationship Id="rId818" Type="http://schemas.openxmlformats.org/officeDocument/2006/relationships/image" Target="../media/image818.png"/><Relationship Id="rId1003" Type="http://schemas.openxmlformats.org/officeDocument/2006/relationships/image" Target="../media/image1003.png"/><Relationship Id="rId1210" Type="http://schemas.openxmlformats.org/officeDocument/2006/relationships/image" Target="../media/image1210.png"/><Relationship Id="rId1308" Type="http://schemas.openxmlformats.org/officeDocument/2006/relationships/image" Target="../media/image1308.png"/><Relationship Id="rId14" Type="http://schemas.openxmlformats.org/officeDocument/2006/relationships/image" Target="../media/image14.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1098" Type="http://schemas.openxmlformats.org/officeDocument/2006/relationships/image" Target="../media/image1098.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165" Type="http://schemas.openxmlformats.org/officeDocument/2006/relationships/image" Target="../media/image1165.png"/><Relationship Id="rId602" Type="http://schemas.openxmlformats.org/officeDocument/2006/relationships/image" Target="../media/image602.png"/><Relationship Id="rId1025" Type="http://schemas.openxmlformats.org/officeDocument/2006/relationships/image" Target="../media/image1025.png"/><Relationship Id="rId1232" Type="http://schemas.openxmlformats.org/officeDocument/2006/relationships/image" Target="../media/image1232.png"/><Relationship Id="rId907" Type="http://schemas.openxmlformats.org/officeDocument/2006/relationships/image" Target="../media/image907.png"/><Relationship Id="rId36" Type="http://schemas.openxmlformats.org/officeDocument/2006/relationships/image" Target="../media/image36.png"/><Relationship Id="rId185" Type="http://schemas.openxmlformats.org/officeDocument/2006/relationships/image" Target="../media/image185.png"/><Relationship Id="rId392" Type="http://schemas.openxmlformats.org/officeDocument/2006/relationships/image" Target="../media/image392.png"/><Relationship Id="rId697" Type="http://schemas.openxmlformats.org/officeDocument/2006/relationships/image" Target="../media/image697.png"/><Relationship Id="rId252" Type="http://schemas.openxmlformats.org/officeDocument/2006/relationships/image" Target="../media/image252.png"/><Relationship Id="rId1187" Type="http://schemas.openxmlformats.org/officeDocument/2006/relationships/image" Target="../media/image118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971" Type="http://schemas.openxmlformats.org/officeDocument/2006/relationships/image" Target="../media/image971.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1047" Type="http://schemas.openxmlformats.org/officeDocument/2006/relationships/image" Target="../media/image1047.png"/><Relationship Id="rId1254" Type="http://schemas.openxmlformats.org/officeDocument/2006/relationships/image" Target="../media/image1254.png"/><Relationship Id="rId929" Type="http://schemas.openxmlformats.org/officeDocument/2006/relationships/image" Target="../media/image929.png"/><Relationship Id="rId1114" Type="http://schemas.openxmlformats.org/officeDocument/2006/relationships/image" Target="../media/image1114.png"/><Relationship Id="rId1321" Type="http://schemas.openxmlformats.org/officeDocument/2006/relationships/image" Target="../media/image1321.png"/><Relationship Id="rId58" Type="http://schemas.openxmlformats.org/officeDocument/2006/relationships/image" Target="../media/image58.png"/><Relationship Id="rId274" Type="http://schemas.openxmlformats.org/officeDocument/2006/relationships/image" Target="../media/image274.png"/><Relationship Id="rId481" Type="http://schemas.openxmlformats.org/officeDocument/2006/relationships/image" Target="../media/image481.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993" Type="http://schemas.openxmlformats.org/officeDocument/2006/relationships/image" Target="../media/image993.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1069" Type="http://schemas.openxmlformats.org/officeDocument/2006/relationships/image" Target="../media/image1069.png"/><Relationship Id="rId1276" Type="http://schemas.openxmlformats.org/officeDocument/2006/relationships/image" Target="../media/image1276.png"/><Relationship Id="rId201" Type="http://schemas.openxmlformats.org/officeDocument/2006/relationships/image" Target="../media/image201.png"/><Relationship Id="rId506" Type="http://schemas.openxmlformats.org/officeDocument/2006/relationships/image" Target="../media/image506.png"/><Relationship Id="rId853" Type="http://schemas.openxmlformats.org/officeDocument/2006/relationships/image" Target="../media/image853.png"/><Relationship Id="rId1136" Type="http://schemas.openxmlformats.org/officeDocument/2006/relationships/image" Target="../media/image1136.png"/><Relationship Id="rId713" Type="http://schemas.openxmlformats.org/officeDocument/2006/relationships/image" Target="../media/image713.png"/><Relationship Id="rId920" Type="http://schemas.openxmlformats.org/officeDocument/2006/relationships/image" Target="../media/image920.png"/><Relationship Id="rId1203" Type="http://schemas.openxmlformats.org/officeDocument/2006/relationships/image" Target="../media/image1203.png"/><Relationship Id="rId296" Type="http://schemas.openxmlformats.org/officeDocument/2006/relationships/image" Target="../media/image296.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060" Type="http://schemas.openxmlformats.org/officeDocument/2006/relationships/image" Target="../media/image1060.png"/><Relationship Id="rId1298" Type="http://schemas.openxmlformats.org/officeDocument/2006/relationships/image" Target="../media/image1298.png"/><Relationship Id="rId528" Type="http://schemas.openxmlformats.org/officeDocument/2006/relationships/image" Target="../media/image528.png"/><Relationship Id="rId735" Type="http://schemas.openxmlformats.org/officeDocument/2006/relationships/image" Target="../media/image735.png"/><Relationship Id="rId942" Type="http://schemas.openxmlformats.org/officeDocument/2006/relationships/image" Target="../media/image942.png"/><Relationship Id="rId1158" Type="http://schemas.openxmlformats.org/officeDocument/2006/relationships/image" Target="../media/image1158.png"/><Relationship Id="rId1018" Type="http://schemas.openxmlformats.org/officeDocument/2006/relationships/image" Target="../media/image1018.png"/><Relationship Id="rId1225" Type="http://schemas.openxmlformats.org/officeDocument/2006/relationships/image" Target="../media/image1225.png"/><Relationship Id="rId71" Type="http://schemas.openxmlformats.org/officeDocument/2006/relationships/image" Target="../media/image71.png"/><Relationship Id="rId802" Type="http://schemas.openxmlformats.org/officeDocument/2006/relationships/image" Target="../media/image802.png"/><Relationship Id="rId29" Type="http://schemas.openxmlformats.org/officeDocument/2006/relationships/image" Target="../media/image29.png"/><Relationship Id="rId178" Type="http://schemas.openxmlformats.org/officeDocument/2006/relationships/image" Target="../media/image178.png"/><Relationship Id="rId385" Type="http://schemas.openxmlformats.org/officeDocument/2006/relationships/image" Target="../media/image385.png"/><Relationship Id="rId592" Type="http://schemas.openxmlformats.org/officeDocument/2006/relationships/image" Target="../media/image592.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82" Type="http://schemas.openxmlformats.org/officeDocument/2006/relationships/image" Target="../media/image108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64" Type="http://schemas.openxmlformats.org/officeDocument/2006/relationships/image" Target="../media/image964.png"/><Relationship Id="rId93" Type="http://schemas.openxmlformats.org/officeDocument/2006/relationships/image" Target="../media/image93.png"/><Relationship Id="rId617" Type="http://schemas.openxmlformats.org/officeDocument/2006/relationships/image" Target="../media/image617.png"/><Relationship Id="rId824" Type="http://schemas.openxmlformats.org/officeDocument/2006/relationships/image" Target="../media/image824.png"/><Relationship Id="rId1247" Type="http://schemas.openxmlformats.org/officeDocument/2006/relationships/image" Target="../media/image1247.png"/><Relationship Id="rId1107" Type="http://schemas.openxmlformats.org/officeDocument/2006/relationships/image" Target="../media/image1107.png"/><Relationship Id="rId1314" Type="http://schemas.openxmlformats.org/officeDocument/2006/relationships/image" Target="../media/image1314.png"/><Relationship Id="rId20" Type="http://schemas.openxmlformats.org/officeDocument/2006/relationships/image" Target="../media/image20.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86" Type="http://schemas.openxmlformats.org/officeDocument/2006/relationships/image" Target="../media/image986.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171" Type="http://schemas.openxmlformats.org/officeDocument/2006/relationships/image" Target="../media/image1171.png"/><Relationship Id="rId1269" Type="http://schemas.openxmlformats.org/officeDocument/2006/relationships/image" Target="../media/image1269.png"/><Relationship Id="rId401" Type="http://schemas.openxmlformats.org/officeDocument/2006/relationships/image" Target="../media/image401.png"/><Relationship Id="rId846" Type="http://schemas.openxmlformats.org/officeDocument/2006/relationships/image" Target="../media/image846.png"/><Relationship Id="rId1031" Type="http://schemas.openxmlformats.org/officeDocument/2006/relationships/image" Target="../media/image1031.png"/><Relationship Id="rId1129" Type="http://schemas.openxmlformats.org/officeDocument/2006/relationships/image" Target="../media/image1129.png"/><Relationship Id="rId706" Type="http://schemas.openxmlformats.org/officeDocument/2006/relationships/image" Target="../media/image706.png"/><Relationship Id="rId913" Type="http://schemas.openxmlformats.org/officeDocument/2006/relationships/image" Target="../media/image913.png"/><Relationship Id="rId42" Type="http://schemas.openxmlformats.org/officeDocument/2006/relationships/image" Target="../media/image42.png"/><Relationship Id="rId191" Type="http://schemas.openxmlformats.org/officeDocument/2006/relationships/image" Target="../media/image191.png"/><Relationship Id="rId289" Type="http://schemas.openxmlformats.org/officeDocument/2006/relationships/image" Target="../media/image289.png"/><Relationship Id="rId496" Type="http://schemas.openxmlformats.org/officeDocument/2006/relationships/image" Target="../media/image496.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1193" Type="http://schemas.openxmlformats.org/officeDocument/2006/relationships/image" Target="../media/image1193.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1053" Type="http://schemas.openxmlformats.org/officeDocument/2006/relationships/image" Target="../media/image1053.png"/><Relationship Id="rId1260" Type="http://schemas.openxmlformats.org/officeDocument/2006/relationships/image" Target="../media/image1260.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64" Type="http://schemas.openxmlformats.org/officeDocument/2006/relationships/image" Target="../media/image64.png"/><Relationship Id="rId1120" Type="http://schemas.openxmlformats.org/officeDocument/2006/relationships/image" Target="../media/image1120.png"/><Relationship Id="rId1218" Type="http://schemas.openxmlformats.org/officeDocument/2006/relationships/image" Target="../media/image1218.png"/><Relationship Id="rId280" Type="http://schemas.openxmlformats.org/officeDocument/2006/relationships/image" Target="../media/image280.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1075" Type="http://schemas.openxmlformats.org/officeDocument/2006/relationships/image" Target="../media/image1075.png"/><Relationship Id="rId1282" Type="http://schemas.openxmlformats.org/officeDocument/2006/relationships/image" Target="../media/image1282.png"/><Relationship Id="rId291" Type="http://schemas.openxmlformats.org/officeDocument/2006/relationships/image" Target="../media/image291.png"/><Relationship Id="rId305" Type="http://schemas.openxmlformats.org/officeDocument/2006/relationships/image" Target="../media/image305.png"/><Relationship Id="rId512" Type="http://schemas.openxmlformats.org/officeDocument/2006/relationships/image" Target="../media/image512.png"/><Relationship Id="rId957" Type="http://schemas.openxmlformats.org/officeDocument/2006/relationships/image" Target="../media/image957.png"/><Relationship Id="rId1142" Type="http://schemas.openxmlformats.org/officeDocument/2006/relationships/image" Target="../media/image1142.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817" Type="http://schemas.openxmlformats.org/officeDocument/2006/relationships/image" Target="../media/image817.png"/><Relationship Id="rId1002" Type="http://schemas.openxmlformats.org/officeDocument/2006/relationships/image" Target="../media/image1002.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086" Type="http://schemas.openxmlformats.org/officeDocument/2006/relationships/image" Target="../media/image1086.png"/><Relationship Id="rId1293" Type="http://schemas.openxmlformats.org/officeDocument/2006/relationships/image" Target="../media/image1293.png"/><Relationship Id="rId1307" Type="http://schemas.openxmlformats.org/officeDocument/2006/relationships/image" Target="../media/image1307.png"/><Relationship Id="rId13" Type="http://schemas.openxmlformats.org/officeDocument/2006/relationships/image" Target="../media/image1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68" Type="http://schemas.openxmlformats.org/officeDocument/2006/relationships/image" Target="../media/image968.png"/><Relationship Id="rId1153" Type="http://schemas.openxmlformats.org/officeDocument/2006/relationships/image" Target="../media/image1153.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013" Type="http://schemas.openxmlformats.org/officeDocument/2006/relationships/image" Target="../media/image1013.png"/><Relationship Id="rId162" Type="http://schemas.openxmlformats.org/officeDocument/2006/relationships/image" Target="../media/image162.png"/><Relationship Id="rId467" Type="http://schemas.openxmlformats.org/officeDocument/2006/relationships/image" Target="../media/image467.png"/><Relationship Id="rId1097" Type="http://schemas.openxmlformats.org/officeDocument/2006/relationships/image" Target="../media/image1097.png"/><Relationship Id="rId1220" Type="http://schemas.openxmlformats.org/officeDocument/2006/relationships/image" Target="../media/image1220.png"/><Relationship Id="rId1318" Type="http://schemas.openxmlformats.org/officeDocument/2006/relationships/image" Target="../media/image1318.png"/><Relationship Id="rId674" Type="http://schemas.openxmlformats.org/officeDocument/2006/relationships/image" Target="../media/image674.png"/><Relationship Id="rId881" Type="http://schemas.openxmlformats.org/officeDocument/2006/relationships/image" Target="../media/image881.png"/><Relationship Id="rId979" Type="http://schemas.openxmlformats.org/officeDocument/2006/relationships/image" Target="../media/image979.png"/><Relationship Id="rId24" Type="http://schemas.openxmlformats.org/officeDocument/2006/relationships/image" Target="../media/image24.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164" Type="http://schemas.openxmlformats.org/officeDocument/2006/relationships/image" Target="../media/image1164.png"/><Relationship Id="rId173" Type="http://schemas.openxmlformats.org/officeDocument/2006/relationships/image" Target="../media/image173.png"/><Relationship Id="rId380" Type="http://schemas.openxmlformats.org/officeDocument/2006/relationships/image" Target="../media/image380.png"/><Relationship Id="rId601" Type="http://schemas.openxmlformats.org/officeDocument/2006/relationships/image" Target="../media/image601.png"/><Relationship Id="rId1024" Type="http://schemas.openxmlformats.org/officeDocument/2006/relationships/image" Target="../media/image1024.png"/><Relationship Id="rId1231" Type="http://schemas.openxmlformats.org/officeDocument/2006/relationships/image" Target="../media/image1231.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906" Type="http://schemas.openxmlformats.org/officeDocument/2006/relationships/image" Target="../media/image906.png"/><Relationship Id="rId35" Type="http://schemas.openxmlformats.org/officeDocument/2006/relationships/image" Target="../media/image35.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175" Type="http://schemas.openxmlformats.org/officeDocument/2006/relationships/image" Target="../media/image1175.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612" Type="http://schemas.openxmlformats.org/officeDocument/2006/relationships/image" Target="../media/image612.png"/><Relationship Id="rId1035" Type="http://schemas.openxmlformats.org/officeDocument/2006/relationships/image" Target="../media/image1035.png"/><Relationship Id="rId1242" Type="http://schemas.openxmlformats.org/officeDocument/2006/relationships/image" Target="../media/image1242.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917" Type="http://schemas.openxmlformats.org/officeDocument/2006/relationships/image" Target="../media/image917.png"/><Relationship Id="rId1102" Type="http://schemas.openxmlformats.org/officeDocument/2006/relationships/image" Target="../media/image1102.png"/><Relationship Id="rId46" Type="http://schemas.openxmlformats.org/officeDocument/2006/relationships/image" Target="../media/image4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86" Type="http://schemas.openxmlformats.org/officeDocument/2006/relationships/image" Target="../media/image1186.png"/><Relationship Id="rId111" Type="http://schemas.openxmlformats.org/officeDocument/2006/relationships/image" Target="../media/image111.png"/><Relationship Id="rId195" Type="http://schemas.openxmlformats.org/officeDocument/2006/relationships/image" Target="../media/image195.png"/><Relationship Id="rId209" Type="http://schemas.openxmlformats.org/officeDocument/2006/relationships/image" Target="../media/image209.png"/><Relationship Id="rId416" Type="http://schemas.openxmlformats.org/officeDocument/2006/relationships/image" Target="../media/image416.png"/><Relationship Id="rId970" Type="http://schemas.openxmlformats.org/officeDocument/2006/relationships/image" Target="../media/image970.png"/><Relationship Id="rId1046" Type="http://schemas.openxmlformats.org/officeDocument/2006/relationships/image" Target="../media/image1046.png"/><Relationship Id="rId1253" Type="http://schemas.openxmlformats.org/officeDocument/2006/relationships/image" Target="../media/image1253.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57" Type="http://schemas.openxmlformats.org/officeDocument/2006/relationships/image" Target="../media/image57.png"/><Relationship Id="rId262" Type="http://schemas.openxmlformats.org/officeDocument/2006/relationships/image" Target="../media/image262.png"/><Relationship Id="rId567" Type="http://schemas.openxmlformats.org/officeDocument/2006/relationships/image" Target="../media/image567.png"/><Relationship Id="rId1113" Type="http://schemas.openxmlformats.org/officeDocument/2006/relationships/image" Target="../media/image1113.png"/><Relationship Id="rId1197" Type="http://schemas.openxmlformats.org/officeDocument/2006/relationships/image" Target="../media/image1197.png"/><Relationship Id="rId1320" Type="http://schemas.openxmlformats.org/officeDocument/2006/relationships/image" Target="../media/image1320.png"/><Relationship Id="rId122" Type="http://schemas.openxmlformats.org/officeDocument/2006/relationships/image" Target="../media/image122.png"/><Relationship Id="rId774" Type="http://schemas.openxmlformats.org/officeDocument/2006/relationships/image" Target="../media/image774.png"/><Relationship Id="rId981" Type="http://schemas.openxmlformats.org/officeDocument/2006/relationships/image" Target="../media/image981.png"/><Relationship Id="rId1057" Type="http://schemas.openxmlformats.org/officeDocument/2006/relationships/image" Target="../media/image1057.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1264" Type="http://schemas.openxmlformats.org/officeDocument/2006/relationships/image" Target="../media/image1264.png"/><Relationship Id="rId273" Type="http://schemas.openxmlformats.org/officeDocument/2006/relationships/image" Target="../media/image273.png"/><Relationship Id="rId480" Type="http://schemas.openxmlformats.org/officeDocument/2006/relationships/image" Target="../media/image480.png"/><Relationship Id="rId701" Type="http://schemas.openxmlformats.org/officeDocument/2006/relationships/image" Target="../media/image701.png"/><Relationship Id="rId939" Type="http://schemas.openxmlformats.org/officeDocument/2006/relationships/image" Target="../media/image939.png"/><Relationship Id="rId1124" Type="http://schemas.openxmlformats.org/officeDocument/2006/relationships/image" Target="../media/image1124.png"/><Relationship Id="rId68" Type="http://schemas.openxmlformats.org/officeDocument/2006/relationships/image" Target="../media/image68.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992" Type="http://schemas.openxmlformats.org/officeDocument/2006/relationships/image" Target="../media/image992.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1068" Type="http://schemas.openxmlformats.org/officeDocument/2006/relationships/image" Target="../media/image1068.png"/><Relationship Id="rId1275" Type="http://schemas.openxmlformats.org/officeDocument/2006/relationships/image" Target="../media/image1275.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1135" Type="http://schemas.openxmlformats.org/officeDocument/2006/relationships/image" Target="../media/image1135.png"/><Relationship Id="rId79" Type="http://schemas.openxmlformats.org/officeDocument/2006/relationships/image" Target="../media/image79.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1202" Type="http://schemas.openxmlformats.org/officeDocument/2006/relationships/image" Target="../media/image1202.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1079" Type="http://schemas.openxmlformats.org/officeDocument/2006/relationships/image" Target="../media/image1079.png"/><Relationship Id="rId1286" Type="http://schemas.openxmlformats.org/officeDocument/2006/relationships/image" Target="../media/image1286.png"/><Relationship Id="rId211" Type="http://schemas.openxmlformats.org/officeDocument/2006/relationships/image" Target="../media/image211.png"/><Relationship Id="rId295" Type="http://schemas.openxmlformats.org/officeDocument/2006/relationships/image" Target="../media/image295.png"/><Relationship Id="rId309" Type="http://schemas.openxmlformats.org/officeDocument/2006/relationships/image" Target="../media/image309.png"/><Relationship Id="rId516" Type="http://schemas.openxmlformats.org/officeDocument/2006/relationships/image" Target="../media/image516.png"/><Relationship Id="rId1146" Type="http://schemas.openxmlformats.org/officeDocument/2006/relationships/image" Target="../media/image1146.png"/><Relationship Id="rId723" Type="http://schemas.openxmlformats.org/officeDocument/2006/relationships/image" Target="../media/image723.png"/><Relationship Id="rId930" Type="http://schemas.openxmlformats.org/officeDocument/2006/relationships/image" Target="../media/image930.png"/><Relationship Id="rId1006" Type="http://schemas.openxmlformats.org/officeDocument/2006/relationships/image" Target="../media/image1006.png"/><Relationship Id="rId155" Type="http://schemas.openxmlformats.org/officeDocument/2006/relationships/image" Target="../media/image155.png"/><Relationship Id="rId362" Type="http://schemas.openxmlformats.org/officeDocument/2006/relationships/image" Target="../media/image362.png"/><Relationship Id="rId1213" Type="http://schemas.openxmlformats.org/officeDocument/2006/relationships/image" Target="../media/image1213.png"/><Relationship Id="rId1297" Type="http://schemas.openxmlformats.org/officeDocument/2006/relationships/image" Target="../media/image1297.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17" Type="http://schemas.openxmlformats.org/officeDocument/2006/relationships/image" Target="../media/image17.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1157" Type="http://schemas.openxmlformats.org/officeDocument/2006/relationships/image" Target="../media/image1157.png"/><Relationship Id="rId70" Type="http://schemas.openxmlformats.org/officeDocument/2006/relationships/image" Target="../media/image70.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801" Type="http://schemas.openxmlformats.org/officeDocument/2006/relationships/image" Target="../media/image801.png"/><Relationship Id="rId1017" Type="http://schemas.openxmlformats.org/officeDocument/2006/relationships/image" Target="../media/image1017.png"/><Relationship Id="rId1224" Type="http://schemas.openxmlformats.org/officeDocument/2006/relationships/image" Target="../media/image1224.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85" Type="http://schemas.openxmlformats.org/officeDocument/2006/relationships/image" Target="../media/image885.png"/><Relationship Id="rId1070" Type="http://schemas.openxmlformats.org/officeDocument/2006/relationships/image" Target="../media/image1070.png"/><Relationship Id="rId28" Type="http://schemas.openxmlformats.org/officeDocument/2006/relationships/image" Target="../media/image28.png"/><Relationship Id="rId300" Type="http://schemas.openxmlformats.org/officeDocument/2006/relationships/image" Target="../media/image300.png"/><Relationship Id="rId538" Type="http://schemas.openxmlformats.org/officeDocument/2006/relationships/image" Target="../media/image538.png"/><Relationship Id="rId745" Type="http://schemas.openxmlformats.org/officeDocument/2006/relationships/image" Target="../media/image745.png"/><Relationship Id="rId952" Type="http://schemas.openxmlformats.org/officeDocument/2006/relationships/image" Target="../media/image952.png"/><Relationship Id="rId1168" Type="http://schemas.openxmlformats.org/officeDocument/2006/relationships/image" Target="../media/image1168.png"/><Relationship Id="rId81" Type="http://schemas.openxmlformats.org/officeDocument/2006/relationships/image" Target="../media/image81.png"/><Relationship Id="rId177" Type="http://schemas.openxmlformats.org/officeDocument/2006/relationships/image" Target="../media/image177.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812" Type="http://schemas.openxmlformats.org/officeDocument/2006/relationships/image" Target="../media/image812.png"/><Relationship Id="rId1028" Type="http://schemas.openxmlformats.org/officeDocument/2006/relationships/image" Target="../media/image1028.png"/><Relationship Id="rId1235" Type="http://schemas.openxmlformats.org/officeDocument/2006/relationships/image" Target="../media/image1235.png"/><Relationship Id="rId244" Type="http://schemas.openxmlformats.org/officeDocument/2006/relationships/image" Target="../media/image244.png"/><Relationship Id="rId689" Type="http://schemas.openxmlformats.org/officeDocument/2006/relationships/image" Target="../media/image689.png"/><Relationship Id="rId896" Type="http://schemas.openxmlformats.org/officeDocument/2006/relationships/image" Target="../media/image896.png"/><Relationship Id="rId1081" Type="http://schemas.openxmlformats.org/officeDocument/2006/relationships/image" Target="../media/image1081.png"/><Relationship Id="rId1302" Type="http://schemas.openxmlformats.org/officeDocument/2006/relationships/image" Target="../media/image1302.png"/><Relationship Id="rId39" Type="http://schemas.openxmlformats.org/officeDocument/2006/relationships/image" Target="../media/image39.png"/><Relationship Id="rId451" Type="http://schemas.openxmlformats.org/officeDocument/2006/relationships/image" Target="../media/image451.png"/><Relationship Id="rId549" Type="http://schemas.openxmlformats.org/officeDocument/2006/relationships/image" Target="../media/image549.png"/><Relationship Id="rId756" Type="http://schemas.openxmlformats.org/officeDocument/2006/relationships/image" Target="../media/image756.png"/><Relationship Id="rId1179" Type="http://schemas.openxmlformats.org/officeDocument/2006/relationships/image" Target="../media/image1179.png"/><Relationship Id="rId104" Type="http://schemas.openxmlformats.org/officeDocument/2006/relationships/image" Target="../media/image104.png"/><Relationship Id="rId188" Type="http://schemas.openxmlformats.org/officeDocument/2006/relationships/image" Target="../media/image188.png"/><Relationship Id="rId311" Type="http://schemas.openxmlformats.org/officeDocument/2006/relationships/image" Target="../media/image311.png"/><Relationship Id="rId395" Type="http://schemas.openxmlformats.org/officeDocument/2006/relationships/image" Target="../media/image395.png"/><Relationship Id="rId409" Type="http://schemas.openxmlformats.org/officeDocument/2006/relationships/image" Target="../media/image409.png"/><Relationship Id="rId963" Type="http://schemas.openxmlformats.org/officeDocument/2006/relationships/image" Target="../media/image963.png"/><Relationship Id="rId1039" Type="http://schemas.openxmlformats.org/officeDocument/2006/relationships/image" Target="../media/image1039.png"/><Relationship Id="rId1246" Type="http://schemas.openxmlformats.org/officeDocument/2006/relationships/image" Target="../media/image1246.png"/><Relationship Id="rId92" Type="http://schemas.openxmlformats.org/officeDocument/2006/relationships/image" Target="../media/image92.png"/><Relationship Id="rId616" Type="http://schemas.openxmlformats.org/officeDocument/2006/relationships/image" Target="../media/image616.png"/><Relationship Id="rId823" Type="http://schemas.openxmlformats.org/officeDocument/2006/relationships/image" Target="../media/image823.png"/><Relationship Id="rId255" Type="http://schemas.openxmlformats.org/officeDocument/2006/relationships/image" Target="../media/image255.png"/><Relationship Id="rId462" Type="http://schemas.openxmlformats.org/officeDocument/2006/relationships/image" Target="../media/image462.png"/><Relationship Id="rId1092" Type="http://schemas.openxmlformats.org/officeDocument/2006/relationships/image" Target="../media/image1092.png"/><Relationship Id="rId1106" Type="http://schemas.openxmlformats.org/officeDocument/2006/relationships/image" Target="../media/image1106.png"/><Relationship Id="rId1313" Type="http://schemas.openxmlformats.org/officeDocument/2006/relationships/image" Target="../media/image1313.png"/><Relationship Id="rId115" Type="http://schemas.openxmlformats.org/officeDocument/2006/relationships/image" Target="../media/image115.png"/><Relationship Id="rId322" Type="http://schemas.openxmlformats.org/officeDocument/2006/relationships/image" Target="../media/image322.png"/><Relationship Id="rId767" Type="http://schemas.openxmlformats.org/officeDocument/2006/relationships/image" Target="../media/image767.png"/><Relationship Id="rId974" Type="http://schemas.openxmlformats.org/officeDocument/2006/relationships/image" Target="../media/image974.png"/><Relationship Id="rId199" Type="http://schemas.openxmlformats.org/officeDocument/2006/relationships/image" Target="../media/image199.png"/><Relationship Id="rId627" Type="http://schemas.openxmlformats.org/officeDocument/2006/relationships/image" Target="../media/image627.png"/><Relationship Id="rId834" Type="http://schemas.openxmlformats.org/officeDocument/2006/relationships/image" Target="../media/image834.png"/><Relationship Id="rId1257" Type="http://schemas.openxmlformats.org/officeDocument/2006/relationships/image" Target="../media/image1257.png"/><Relationship Id="rId266" Type="http://schemas.openxmlformats.org/officeDocument/2006/relationships/image" Target="../media/image266.png"/><Relationship Id="rId473" Type="http://schemas.openxmlformats.org/officeDocument/2006/relationships/image" Target="../media/image473.png"/><Relationship Id="rId680" Type="http://schemas.openxmlformats.org/officeDocument/2006/relationships/image" Target="../media/image680.png"/><Relationship Id="rId901" Type="http://schemas.openxmlformats.org/officeDocument/2006/relationships/image" Target="../media/image901.png"/><Relationship Id="rId1117" Type="http://schemas.openxmlformats.org/officeDocument/2006/relationships/image" Target="../media/image1117.png"/><Relationship Id="rId30" Type="http://schemas.openxmlformats.org/officeDocument/2006/relationships/image" Target="../media/image30.png"/><Relationship Id="rId126" Type="http://schemas.openxmlformats.org/officeDocument/2006/relationships/image" Target="../media/image126.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985" Type="http://schemas.openxmlformats.org/officeDocument/2006/relationships/image" Target="../media/image985.png"/><Relationship Id="rId1170" Type="http://schemas.openxmlformats.org/officeDocument/2006/relationships/image" Target="../media/image1170.png"/><Relationship Id="rId638" Type="http://schemas.openxmlformats.org/officeDocument/2006/relationships/image" Target="../media/image638.png"/><Relationship Id="rId845" Type="http://schemas.openxmlformats.org/officeDocument/2006/relationships/image" Target="../media/image845.png"/><Relationship Id="rId1030" Type="http://schemas.openxmlformats.org/officeDocument/2006/relationships/image" Target="../media/image1030.png"/><Relationship Id="rId1268" Type="http://schemas.openxmlformats.org/officeDocument/2006/relationships/image" Target="../media/image1268.png"/><Relationship Id="rId277" Type="http://schemas.openxmlformats.org/officeDocument/2006/relationships/image" Target="../media/image277.png"/><Relationship Id="rId400" Type="http://schemas.openxmlformats.org/officeDocument/2006/relationships/image" Target="../media/image400.png"/><Relationship Id="rId484" Type="http://schemas.openxmlformats.org/officeDocument/2006/relationships/image" Target="../media/image484.png"/><Relationship Id="rId705" Type="http://schemas.openxmlformats.org/officeDocument/2006/relationships/image" Target="../media/image705.png"/><Relationship Id="rId1128" Type="http://schemas.openxmlformats.org/officeDocument/2006/relationships/image" Target="../media/image1128.png"/><Relationship Id="rId137" Type="http://schemas.openxmlformats.org/officeDocument/2006/relationships/image" Target="../media/image137.png"/><Relationship Id="rId344" Type="http://schemas.openxmlformats.org/officeDocument/2006/relationships/image" Target="../media/image344.png"/><Relationship Id="rId691" Type="http://schemas.openxmlformats.org/officeDocument/2006/relationships/image" Target="../media/image691.png"/><Relationship Id="rId789" Type="http://schemas.openxmlformats.org/officeDocument/2006/relationships/image" Target="../media/image789.png"/><Relationship Id="rId912" Type="http://schemas.openxmlformats.org/officeDocument/2006/relationships/image" Target="../media/image912.png"/><Relationship Id="rId996" Type="http://schemas.openxmlformats.org/officeDocument/2006/relationships/image" Target="../media/image996.png"/><Relationship Id="rId41" Type="http://schemas.openxmlformats.org/officeDocument/2006/relationships/image" Target="../media/image41.png"/><Relationship Id="rId551" Type="http://schemas.openxmlformats.org/officeDocument/2006/relationships/image" Target="../media/image551.png"/><Relationship Id="rId649" Type="http://schemas.openxmlformats.org/officeDocument/2006/relationships/image" Target="../media/image649.png"/><Relationship Id="rId856" Type="http://schemas.openxmlformats.org/officeDocument/2006/relationships/image" Target="../media/image856.png"/><Relationship Id="rId1181" Type="http://schemas.openxmlformats.org/officeDocument/2006/relationships/image" Target="../media/image1181.png"/><Relationship Id="rId1279" Type="http://schemas.openxmlformats.org/officeDocument/2006/relationships/image" Target="../media/image1279.png"/><Relationship Id="rId190" Type="http://schemas.openxmlformats.org/officeDocument/2006/relationships/image" Target="../media/image190.png"/><Relationship Id="rId204" Type="http://schemas.openxmlformats.org/officeDocument/2006/relationships/image" Target="../media/image204.png"/><Relationship Id="rId288" Type="http://schemas.openxmlformats.org/officeDocument/2006/relationships/image" Target="../media/image288.png"/><Relationship Id="rId411" Type="http://schemas.openxmlformats.org/officeDocument/2006/relationships/image" Target="../media/image411.png"/><Relationship Id="rId509" Type="http://schemas.openxmlformats.org/officeDocument/2006/relationships/image" Target="../media/image509.png"/><Relationship Id="rId1041" Type="http://schemas.openxmlformats.org/officeDocument/2006/relationships/image" Target="../media/image1041.png"/><Relationship Id="rId1139" Type="http://schemas.openxmlformats.org/officeDocument/2006/relationships/image" Target="../media/image1139.png"/><Relationship Id="rId495" Type="http://schemas.openxmlformats.org/officeDocument/2006/relationships/image" Target="../media/image495.png"/><Relationship Id="rId716" Type="http://schemas.openxmlformats.org/officeDocument/2006/relationships/image" Target="../media/image716.png"/><Relationship Id="rId923" Type="http://schemas.openxmlformats.org/officeDocument/2006/relationships/image" Target="../media/image923.png"/><Relationship Id="rId52" Type="http://schemas.openxmlformats.org/officeDocument/2006/relationships/image" Target="../media/image52.png"/><Relationship Id="rId148" Type="http://schemas.openxmlformats.org/officeDocument/2006/relationships/image" Target="../media/image148.png"/><Relationship Id="rId355" Type="http://schemas.openxmlformats.org/officeDocument/2006/relationships/image" Target="../media/image355.png"/><Relationship Id="rId562" Type="http://schemas.openxmlformats.org/officeDocument/2006/relationships/image" Target="../media/image562.png"/><Relationship Id="rId1192" Type="http://schemas.openxmlformats.org/officeDocument/2006/relationships/image" Target="../media/image1192.png"/><Relationship Id="rId1206" Type="http://schemas.openxmlformats.org/officeDocument/2006/relationships/image" Target="../media/image1206.png"/><Relationship Id="rId215" Type="http://schemas.openxmlformats.org/officeDocument/2006/relationships/image" Target="../media/image215.png"/><Relationship Id="rId422" Type="http://schemas.openxmlformats.org/officeDocument/2006/relationships/image" Target="../media/image422.png"/><Relationship Id="rId867" Type="http://schemas.openxmlformats.org/officeDocument/2006/relationships/image" Target="../media/image867.png"/><Relationship Id="rId1052" Type="http://schemas.openxmlformats.org/officeDocument/2006/relationships/image" Target="../media/image1052.png"/><Relationship Id="rId299" Type="http://schemas.openxmlformats.org/officeDocument/2006/relationships/image" Target="../media/image299.png"/><Relationship Id="rId727" Type="http://schemas.openxmlformats.org/officeDocument/2006/relationships/image" Target="../media/image727.png"/><Relationship Id="rId934" Type="http://schemas.openxmlformats.org/officeDocument/2006/relationships/image" Target="../media/image934.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1217" Type="http://schemas.openxmlformats.org/officeDocument/2006/relationships/image" Target="../media/image1217.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1063" Type="http://schemas.openxmlformats.org/officeDocument/2006/relationships/image" Target="../media/image1063.png"/><Relationship Id="rId1270" Type="http://schemas.openxmlformats.org/officeDocument/2006/relationships/image" Target="../media/image1270.png"/><Relationship Id="rId640" Type="http://schemas.openxmlformats.org/officeDocument/2006/relationships/image" Target="../media/image640.png"/><Relationship Id="rId738" Type="http://schemas.openxmlformats.org/officeDocument/2006/relationships/image" Target="../media/image738.png"/><Relationship Id="rId945" Type="http://schemas.openxmlformats.org/officeDocument/2006/relationships/image" Target="../media/image945.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1130" Type="http://schemas.openxmlformats.org/officeDocument/2006/relationships/image" Target="../media/image1130.png"/><Relationship Id="rId1228" Type="http://schemas.openxmlformats.org/officeDocument/2006/relationships/image" Target="../media/image1228.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1074" Type="http://schemas.openxmlformats.org/officeDocument/2006/relationships/image" Target="../media/image1074.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1281" Type="http://schemas.openxmlformats.org/officeDocument/2006/relationships/image" Target="../media/image1281.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956" Type="http://schemas.openxmlformats.org/officeDocument/2006/relationships/image" Target="../media/image956.png"/><Relationship Id="rId1141" Type="http://schemas.openxmlformats.org/officeDocument/2006/relationships/image" Target="../media/image1141.png"/><Relationship Id="rId1239" Type="http://schemas.openxmlformats.org/officeDocument/2006/relationships/image" Target="../media/image1239.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1001" Type="http://schemas.openxmlformats.org/officeDocument/2006/relationships/image" Target="../media/image1001.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085" Type="http://schemas.openxmlformats.org/officeDocument/2006/relationships/image" Target="../media/image1085.png"/><Relationship Id="rId1292" Type="http://schemas.openxmlformats.org/officeDocument/2006/relationships/image" Target="../media/image1292.png"/><Relationship Id="rId1306" Type="http://schemas.openxmlformats.org/officeDocument/2006/relationships/image" Target="../media/image1306.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7" Type="http://schemas.openxmlformats.org/officeDocument/2006/relationships/image" Target="../media/image967.png"/><Relationship Id="rId1152" Type="http://schemas.openxmlformats.org/officeDocument/2006/relationships/image" Target="../media/image115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1012" Type="http://schemas.openxmlformats.org/officeDocument/2006/relationships/image" Target="../media/image1012.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1096" Type="http://schemas.openxmlformats.org/officeDocument/2006/relationships/image" Target="../media/image1096.png"/><Relationship Id="rId1317" Type="http://schemas.openxmlformats.org/officeDocument/2006/relationships/image" Target="../media/image1317.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978" Type="http://schemas.openxmlformats.org/officeDocument/2006/relationships/image" Target="../media/image978.png"/><Relationship Id="rId1163" Type="http://schemas.openxmlformats.org/officeDocument/2006/relationships/image" Target="../media/image1163.png"/><Relationship Id="rId740" Type="http://schemas.openxmlformats.org/officeDocument/2006/relationships/image" Target="../media/image740.png"/><Relationship Id="rId838" Type="http://schemas.openxmlformats.org/officeDocument/2006/relationships/image" Target="../media/image838.png"/><Relationship Id="rId1023" Type="http://schemas.openxmlformats.org/officeDocument/2006/relationships/image" Target="../media/image1023.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1230" Type="http://schemas.openxmlformats.org/officeDocument/2006/relationships/image" Target="../media/image1230.png"/><Relationship Id="rId337" Type="http://schemas.openxmlformats.org/officeDocument/2006/relationships/image" Target="../media/image337.png"/><Relationship Id="rId891" Type="http://schemas.openxmlformats.org/officeDocument/2006/relationships/image" Target="../media/image891.png"/><Relationship Id="rId905" Type="http://schemas.openxmlformats.org/officeDocument/2006/relationships/image" Target="../media/image905.png"/><Relationship Id="rId989" Type="http://schemas.openxmlformats.org/officeDocument/2006/relationships/image" Target="../media/image989.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174" Type="http://schemas.openxmlformats.org/officeDocument/2006/relationships/image" Target="../media/image1174.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1034" Type="http://schemas.openxmlformats.org/officeDocument/2006/relationships/image" Target="../media/image1034.png"/><Relationship Id="rId1241" Type="http://schemas.openxmlformats.org/officeDocument/2006/relationships/image" Target="../media/image1241.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916" Type="http://schemas.openxmlformats.org/officeDocument/2006/relationships/image" Target="../media/image916.png"/><Relationship Id="rId1101" Type="http://schemas.openxmlformats.org/officeDocument/2006/relationships/image" Target="../media/image1101.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185" Type="http://schemas.openxmlformats.org/officeDocument/2006/relationships/image" Target="../media/image1185.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1045" Type="http://schemas.openxmlformats.org/officeDocument/2006/relationships/image" Target="../media/image1045.png"/><Relationship Id="rId1252" Type="http://schemas.openxmlformats.org/officeDocument/2006/relationships/image" Target="../media/image1252.png"/><Relationship Id="rId261" Type="http://schemas.openxmlformats.org/officeDocument/2006/relationships/image" Target="../media/image261.png"/><Relationship Id="rId499" Type="http://schemas.openxmlformats.org/officeDocument/2006/relationships/image" Target="../media/image499.png"/><Relationship Id="rId927" Type="http://schemas.openxmlformats.org/officeDocument/2006/relationships/image" Target="../media/image927.png"/><Relationship Id="rId1112" Type="http://schemas.openxmlformats.org/officeDocument/2006/relationships/image" Target="../media/image1112.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196" Type="http://schemas.openxmlformats.org/officeDocument/2006/relationships/image" Target="../media/image1196.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980" Type="http://schemas.openxmlformats.org/officeDocument/2006/relationships/image" Target="../media/image980.png"/><Relationship Id="rId1056" Type="http://schemas.openxmlformats.org/officeDocument/2006/relationships/image" Target="../media/image1056.png"/><Relationship Id="rId1263" Type="http://schemas.openxmlformats.org/officeDocument/2006/relationships/image" Target="../media/image1263.png"/><Relationship Id="rId840" Type="http://schemas.openxmlformats.org/officeDocument/2006/relationships/image" Target="../media/image840.png"/><Relationship Id="rId938" Type="http://schemas.openxmlformats.org/officeDocument/2006/relationships/image" Target="../media/image938.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123" Type="http://schemas.openxmlformats.org/officeDocument/2006/relationships/image" Target="../media/image1123.png"/><Relationship Id="rId132" Type="http://schemas.openxmlformats.org/officeDocument/2006/relationships/image" Target="../media/image132.png"/><Relationship Id="rId784" Type="http://schemas.openxmlformats.org/officeDocument/2006/relationships/image" Target="../media/image784.png"/><Relationship Id="rId991" Type="http://schemas.openxmlformats.org/officeDocument/2006/relationships/image" Target="../media/image991.png"/><Relationship Id="rId1067" Type="http://schemas.openxmlformats.org/officeDocument/2006/relationships/image" Target="../media/image1067.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1274" Type="http://schemas.openxmlformats.org/officeDocument/2006/relationships/image" Target="../media/image1274.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949" Type="http://schemas.openxmlformats.org/officeDocument/2006/relationships/image" Target="../media/image949.png"/><Relationship Id="rId1134" Type="http://schemas.openxmlformats.org/officeDocument/2006/relationships/image" Target="../media/image1134.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1201" Type="http://schemas.openxmlformats.org/officeDocument/2006/relationships/image" Target="../media/image1201.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1078" Type="http://schemas.openxmlformats.org/officeDocument/2006/relationships/image" Target="../media/image1078.png"/><Relationship Id="rId1285" Type="http://schemas.openxmlformats.org/officeDocument/2006/relationships/image" Target="../media/image1285.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1145" Type="http://schemas.openxmlformats.org/officeDocument/2006/relationships/image" Target="../media/image1145.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1005" Type="http://schemas.openxmlformats.org/officeDocument/2006/relationships/image" Target="../media/image1005.png"/><Relationship Id="rId1212" Type="http://schemas.openxmlformats.org/officeDocument/2006/relationships/image" Target="../media/image1212.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089" Type="http://schemas.openxmlformats.org/officeDocument/2006/relationships/image" Target="../media/image1089.png"/><Relationship Id="rId1296" Type="http://schemas.openxmlformats.org/officeDocument/2006/relationships/image" Target="../media/image1296.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1156" Type="http://schemas.openxmlformats.org/officeDocument/2006/relationships/image" Target="../media/image1156.png"/><Relationship Id="rId733" Type="http://schemas.openxmlformats.org/officeDocument/2006/relationships/image" Target="../media/image733.png"/><Relationship Id="rId940" Type="http://schemas.openxmlformats.org/officeDocument/2006/relationships/image" Target="../media/image940.png"/><Relationship Id="rId1016" Type="http://schemas.openxmlformats.org/officeDocument/2006/relationships/image" Target="../media/image1016.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1223" Type="http://schemas.openxmlformats.org/officeDocument/2006/relationships/image" Target="../media/image1223.png"/><Relationship Id="rId232" Type="http://schemas.openxmlformats.org/officeDocument/2006/relationships/image" Target="../media/image232.png"/><Relationship Id="rId884" Type="http://schemas.openxmlformats.org/officeDocument/2006/relationships/image" Target="../media/image884.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951" Type="http://schemas.openxmlformats.org/officeDocument/2006/relationships/image" Target="../media/image951.png"/><Relationship Id="rId1167" Type="http://schemas.openxmlformats.org/officeDocument/2006/relationships/image" Target="../media/image1167.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1027" Type="http://schemas.openxmlformats.org/officeDocument/2006/relationships/image" Target="../media/image1027.png"/><Relationship Id="rId1234" Type="http://schemas.openxmlformats.org/officeDocument/2006/relationships/image" Target="../media/image1234.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909" Type="http://schemas.openxmlformats.org/officeDocument/2006/relationships/image" Target="../media/image909.png"/><Relationship Id="rId1080" Type="http://schemas.openxmlformats.org/officeDocument/2006/relationships/image" Target="../media/image1080.png"/><Relationship Id="rId1301" Type="http://schemas.openxmlformats.org/officeDocument/2006/relationships/image" Target="../media/image1301.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62" Type="http://schemas.openxmlformats.org/officeDocument/2006/relationships/image" Target="../media/image962.png"/><Relationship Id="rId1178" Type="http://schemas.openxmlformats.org/officeDocument/2006/relationships/image" Target="../media/image1178.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1038" Type="http://schemas.openxmlformats.org/officeDocument/2006/relationships/image" Target="../media/image1038.png"/><Relationship Id="rId1245" Type="http://schemas.openxmlformats.org/officeDocument/2006/relationships/image" Target="../media/image1245.png"/><Relationship Id="rId254" Type="http://schemas.openxmlformats.org/officeDocument/2006/relationships/image" Target="../media/image254.png"/><Relationship Id="rId699" Type="http://schemas.openxmlformats.org/officeDocument/2006/relationships/image" Target="../media/image699.png"/><Relationship Id="rId1091" Type="http://schemas.openxmlformats.org/officeDocument/2006/relationships/image" Target="../media/image1091.png"/><Relationship Id="rId1105" Type="http://schemas.openxmlformats.org/officeDocument/2006/relationships/image" Target="../media/image1105.png"/><Relationship Id="rId1312" Type="http://schemas.openxmlformats.org/officeDocument/2006/relationships/image" Target="../media/image1312.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189" Type="http://schemas.openxmlformats.org/officeDocument/2006/relationships/image" Target="../media/image1189.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973" Type="http://schemas.openxmlformats.org/officeDocument/2006/relationships/image" Target="../media/image973.png"/><Relationship Id="rId1049" Type="http://schemas.openxmlformats.org/officeDocument/2006/relationships/image" Target="../media/image1049.png"/><Relationship Id="rId1256" Type="http://schemas.openxmlformats.org/officeDocument/2006/relationships/image" Target="../media/image1256.png"/><Relationship Id="rId833" Type="http://schemas.openxmlformats.org/officeDocument/2006/relationships/image" Target="../media/image833.png"/><Relationship Id="rId1116" Type="http://schemas.openxmlformats.org/officeDocument/2006/relationships/image" Target="../media/image1116.png"/><Relationship Id="rId265" Type="http://schemas.openxmlformats.org/officeDocument/2006/relationships/image" Target="../media/image265.png"/><Relationship Id="rId472" Type="http://schemas.openxmlformats.org/officeDocument/2006/relationships/image" Target="../media/image472.png"/><Relationship Id="rId900" Type="http://schemas.openxmlformats.org/officeDocument/2006/relationships/image" Target="../media/image900.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984" Type="http://schemas.openxmlformats.org/officeDocument/2006/relationships/image" Target="../media/image984.png"/><Relationship Id="rId637" Type="http://schemas.openxmlformats.org/officeDocument/2006/relationships/image" Target="../media/image637.png"/><Relationship Id="rId844" Type="http://schemas.openxmlformats.org/officeDocument/2006/relationships/image" Target="../media/image844.png"/><Relationship Id="rId1267" Type="http://schemas.openxmlformats.org/officeDocument/2006/relationships/image" Target="../media/image1267.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911" Type="http://schemas.openxmlformats.org/officeDocument/2006/relationships/image" Target="../media/image911.png"/><Relationship Id="rId1127" Type="http://schemas.openxmlformats.org/officeDocument/2006/relationships/image" Target="../media/image1127.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995" Type="http://schemas.openxmlformats.org/officeDocument/2006/relationships/image" Target="../media/image995.png"/><Relationship Id="rId1180" Type="http://schemas.openxmlformats.org/officeDocument/2006/relationships/image" Target="../media/image1180.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1040" Type="http://schemas.openxmlformats.org/officeDocument/2006/relationships/image" Target="../media/image1040.png"/><Relationship Id="rId1278" Type="http://schemas.openxmlformats.org/officeDocument/2006/relationships/image" Target="../media/image1278.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138" Type="http://schemas.openxmlformats.org/officeDocument/2006/relationships/image" Target="../media/image1138.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1191" Type="http://schemas.openxmlformats.org/officeDocument/2006/relationships/image" Target="../media/image1191.png"/><Relationship Id="rId1205" Type="http://schemas.openxmlformats.org/officeDocument/2006/relationships/image" Target="../media/image1205.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1289" Type="http://schemas.openxmlformats.org/officeDocument/2006/relationships/image" Target="../media/image1289.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051" Type="http://schemas.openxmlformats.org/officeDocument/2006/relationships/image" Target="../media/image1051.png"/><Relationship Id="rId1149" Type="http://schemas.openxmlformats.org/officeDocument/2006/relationships/image" Target="../media/image1149.png"/><Relationship Id="rId158" Type="http://schemas.openxmlformats.org/officeDocument/2006/relationships/image" Target="../media/image158.png"/><Relationship Id="rId726" Type="http://schemas.openxmlformats.org/officeDocument/2006/relationships/image" Target="../media/image726.png"/><Relationship Id="rId933" Type="http://schemas.openxmlformats.org/officeDocument/2006/relationships/image" Target="../media/image933.png"/><Relationship Id="rId1009" Type="http://schemas.openxmlformats.org/officeDocument/2006/relationships/image" Target="../media/image1009.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1216" Type="http://schemas.openxmlformats.org/officeDocument/2006/relationships/image" Target="../media/image1216.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1062" Type="http://schemas.openxmlformats.org/officeDocument/2006/relationships/image" Target="../media/image1062.png"/><Relationship Id="rId737" Type="http://schemas.openxmlformats.org/officeDocument/2006/relationships/image" Target="../media/image737.png"/><Relationship Id="rId944" Type="http://schemas.openxmlformats.org/officeDocument/2006/relationships/image" Target="../media/image944.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1227" Type="http://schemas.openxmlformats.org/officeDocument/2006/relationships/image" Target="../media/image1227.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1073" Type="http://schemas.openxmlformats.org/officeDocument/2006/relationships/image" Target="../media/image1073.png"/><Relationship Id="rId1280" Type="http://schemas.openxmlformats.org/officeDocument/2006/relationships/image" Target="../media/image1280.png"/><Relationship Id="rId303" Type="http://schemas.openxmlformats.org/officeDocument/2006/relationships/image" Target="../media/image303.png"/><Relationship Id="rId748" Type="http://schemas.openxmlformats.org/officeDocument/2006/relationships/image" Target="../media/image748.png"/><Relationship Id="rId955" Type="http://schemas.openxmlformats.org/officeDocument/2006/relationships/image" Target="../media/image955.png"/><Relationship Id="rId1140" Type="http://schemas.openxmlformats.org/officeDocument/2006/relationships/image" Target="../media/image1140.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1238" Type="http://schemas.openxmlformats.org/officeDocument/2006/relationships/image" Target="../media/image1238.png"/><Relationship Id="rId247" Type="http://schemas.openxmlformats.org/officeDocument/2006/relationships/image" Target="../media/image247.png"/><Relationship Id="rId899" Type="http://schemas.openxmlformats.org/officeDocument/2006/relationships/image" Target="../media/image899.png"/><Relationship Id="rId1000" Type="http://schemas.openxmlformats.org/officeDocument/2006/relationships/image" Target="../media/image1000.png"/><Relationship Id="rId1084" Type="http://schemas.openxmlformats.org/officeDocument/2006/relationships/image" Target="../media/image1084.png"/><Relationship Id="rId1305" Type="http://schemas.openxmlformats.org/officeDocument/2006/relationships/image" Target="../media/image1305.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966" Type="http://schemas.openxmlformats.org/officeDocument/2006/relationships/image" Target="../media/image966.png"/><Relationship Id="rId1291" Type="http://schemas.openxmlformats.org/officeDocument/2006/relationships/image" Target="../media/image1291.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1151" Type="http://schemas.openxmlformats.org/officeDocument/2006/relationships/image" Target="../media/image1151.png"/><Relationship Id="rId1249" Type="http://schemas.openxmlformats.org/officeDocument/2006/relationships/image" Target="../media/image124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1011" Type="http://schemas.openxmlformats.org/officeDocument/2006/relationships/image" Target="../media/image1011.png"/><Relationship Id="rId1109" Type="http://schemas.openxmlformats.org/officeDocument/2006/relationships/image" Target="../media/image1109.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1095" Type="http://schemas.openxmlformats.org/officeDocument/2006/relationships/image" Target="../media/image1095.png"/><Relationship Id="rId1316" Type="http://schemas.openxmlformats.org/officeDocument/2006/relationships/image" Target="../media/image1316.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977" Type="http://schemas.openxmlformats.org/officeDocument/2006/relationships/image" Target="../media/image977.png"/><Relationship Id="rId1162" Type="http://schemas.openxmlformats.org/officeDocument/2006/relationships/image" Target="../media/image1162.png"/><Relationship Id="rId171" Type="http://schemas.openxmlformats.org/officeDocument/2006/relationships/image" Target="../media/image171.png"/><Relationship Id="rId837" Type="http://schemas.openxmlformats.org/officeDocument/2006/relationships/image" Target="../media/image837.png"/><Relationship Id="rId1022" Type="http://schemas.openxmlformats.org/officeDocument/2006/relationships/image" Target="../media/image1022.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988" Type="http://schemas.openxmlformats.org/officeDocument/2006/relationships/image" Target="../media/image988.png"/><Relationship Id="rId1173" Type="http://schemas.openxmlformats.org/officeDocument/2006/relationships/image" Target="../media/image1173.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1033" Type="http://schemas.openxmlformats.org/officeDocument/2006/relationships/image" Target="../media/image1033.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915" Type="http://schemas.openxmlformats.org/officeDocument/2006/relationships/image" Target="../media/image915.png"/><Relationship Id="rId1240" Type="http://schemas.openxmlformats.org/officeDocument/2006/relationships/image" Target="../media/image1240.png"/><Relationship Id="rId347" Type="http://schemas.openxmlformats.org/officeDocument/2006/relationships/image" Target="../media/image347.png"/><Relationship Id="rId999" Type="http://schemas.openxmlformats.org/officeDocument/2006/relationships/image" Target="../media/image999.png"/><Relationship Id="rId1100" Type="http://schemas.openxmlformats.org/officeDocument/2006/relationships/image" Target="../media/image1100.png"/><Relationship Id="rId1184" Type="http://schemas.openxmlformats.org/officeDocument/2006/relationships/image" Target="../media/image1184.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1044" Type="http://schemas.openxmlformats.org/officeDocument/2006/relationships/image" Target="../media/image1044.png"/><Relationship Id="rId1251" Type="http://schemas.openxmlformats.org/officeDocument/2006/relationships/image" Target="../media/image1251.png"/><Relationship Id="rId260" Type="http://schemas.openxmlformats.org/officeDocument/2006/relationships/image" Target="../media/image260.png"/><Relationship Id="rId719" Type="http://schemas.openxmlformats.org/officeDocument/2006/relationships/image" Target="../media/image719.png"/><Relationship Id="rId926" Type="http://schemas.openxmlformats.org/officeDocument/2006/relationships/image" Target="../media/image926.png"/><Relationship Id="rId1111" Type="http://schemas.openxmlformats.org/officeDocument/2006/relationships/image" Target="../media/image1111.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1195" Type="http://schemas.openxmlformats.org/officeDocument/2006/relationships/image" Target="../media/image1195.png"/><Relationship Id="rId1209" Type="http://schemas.openxmlformats.org/officeDocument/2006/relationships/image" Target="../media/image1209.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1055" Type="http://schemas.openxmlformats.org/officeDocument/2006/relationships/image" Target="../media/image1055.png"/><Relationship Id="rId1262" Type="http://schemas.openxmlformats.org/officeDocument/2006/relationships/image" Target="../media/image1262.png"/><Relationship Id="rId271" Type="http://schemas.openxmlformats.org/officeDocument/2006/relationships/image" Target="../media/image271.png"/><Relationship Id="rId937" Type="http://schemas.openxmlformats.org/officeDocument/2006/relationships/image" Target="../media/image937.png"/><Relationship Id="rId1122" Type="http://schemas.openxmlformats.org/officeDocument/2006/relationships/image" Target="../media/image1122.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990" Type="http://schemas.openxmlformats.org/officeDocument/2006/relationships/image" Target="../media/image990.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1066" Type="http://schemas.openxmlformats.org/officeDocument/2006/relationships/image" Target="../media/image1066.png"/><Relationship Id="rId1273" Type="http://schemas.openxmlformats.org/officeDocument/2006/relationships/image" Target="../media/image1273.png"/><Relationship Id="rId850" Type="http://schemas.openxmlformats.org/officeDocument/2006/relationships/image" Target="../media/image850.png"/><Relationship Id="rId948" Type="http://schemas.openxmlformats.org/officeDocument/2006/relationships/image" Target="../media/image948.png"/><Relationship Id="rId1133" Type="http://schemas.openxmlformats.org/officeDocument/2006/relationships/image" Target="../media/image1133.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1077" Type="http://schemas.openxmlformats.org/officeDocument/2006/relationships/image" Target="../media/image1077.png"/><Relationship Id="rId1200" Type="http://schemas.openxmlformats.org/officeDocument/2006/relationships/image" Target="../media/image1200.png"/><Relationship Id="rId654" Type="http://schemas.openxmlformats.org/officeDocument/2006/relationships/image" Target="../media/image654.png"/><Relationship Id="rId861" Type="http://schemas.openxmlformats.org/officeDocument/2006/relationships/image" Target="../media/image861.png"/><Relationship Id="rId959" Type="http://schemas.openxmlformats.org/officeDocument/2006/relationships/image" Target="../media/image959.png"/><Relationship Id="rId1284" Type="http://schemas.openxmlformats.org/officeDocument/2006/relationships/image" Target="../media/image1284.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1144" Type="http://schemas.openxmlformats.org/officeDocument/2006/relationships/image" Target="../media/image1144.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1004" Type="http://schemas.openxmlformats.org/officeDocument/2006/relationships/image" Target="../media/image1004.png"/><Relationship Id="rId1211" Type="http://schemas.openxmlformats.org/officeDocument/2006/relationships/image" Target="../media/image1211.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088" Type="http://schemas.openxmlformats.org/officeDocument/2006/relationships/image" Target="../media/image1088.png"/><Relationship Id="rId1295" Type="http://schemas.openxmlformats.org/officeDocument/2006/relationships/image" Target="../media/image1295.png"/><Relationship Id="rId1309" Type="http://schemas.openxmlformats.org/officeDocument/2006/relationships/image" Target="../media/image1309.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1155" Type="http://schemas.openxmlformats.org/officeDocument/2006/relationships/image" Target="../media/image1155.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1015" Type="http://schemas.openxmlformats.org/officeDocument/2006/relationships/image" Target="../media/image1015.png"/><Relationship Id="rId1222" Type="http://schemas.openxmlformats.org/officeDocument/2006/relationships/image" Target="../media/image1222.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1099" Type="http://schemas.openxmlformats.org/officeDocument/2006/relationships/image" Target="../media/image1099.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166" Type="http://schemas.openxmlformats.org/officeDocument/2006/relationships/image" Target="../media/image1166.png"/><Relationship Id="rId175" Type="http://schemas.openxmlformats.org/officeDocument/2006/relationships/image" Target="../media/image175.png"/><Relationship Id="rId743" Type="http://schemas.openxmlformats.org/officeDocument/2006/relationships/image" Target="../media/image743.png"/><Relationship Id="rId950" Type="http://schemas.openxmlformats.org/officeDocument/2006/relationships/image" Target="../media/image950.png"/><Relationship Id="rId1026" Type="http://schemas.openxmlformats.org/officeDocument/2006/relationships/image" Target="../media/image1026.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1233" Type="http://schemas.openxmlformats.org/officeDocument/2006/relationships/image" Target="../media/image1233.png"/><Relationship Id="rId242" Type="http://schemas.openxmlformats.org/officeDocument/2006/relationships/image" Target="../media/image242.png"/><Relationship Id="rId894" Type="http://schemas.openxmlformats.org/officeDocument/2006/relationships/image" Target="../media/image894.png"/><Relationship Id="rId1177" Type="http://schemas.openxmlformats.org/officeDocument/2006/relationships/image" Target="../media/image1177.png"/><Relationship Id="rId1300" Type="http://schemas.openxmlformats.org/officeDocument/2006/relationships/image" Target="../media/image1300.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61" Type="http://schemas.openxmlformats.org/officeDocument/2006/relationships/image" Target="../media/image961.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1037" Type="http://schemas.openxmlformats.org/officeDocument/2006/relationships/image" Target="../media/image1037.png"/><Relationship Id="rId1244" Type="http://schemas.openxmlformats.org/officeDocument/2006/relationships/image" Target="../media/image1244.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1090" Type="http://schemas.openxmlformats.org/officeDocument/2006/relationships/image" Target="../media/image1090.png"/><Relationship Id="rId1104" Type="http://schemas.openxmlformats.org/officeDocument/2006/relationships/image" Target="../media/image1104.png"/><Relationship Id="rId1311" Type="http://schemas.openxmlformats.org/officeDocument/2006/relationships/image" Target="../media/image1311.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972" Type="http://schemas.openxmlformats.org/officeDocument/2006/relationships/image" Target="../media/image972.png"/><Relationship Id="rId1188" Type="http://schemas.openxmlformats.org/officeDocument/2006/relationships/image" Target="../media/image1188.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1048" Type="http://schemas.openxmlformats.org/officeDocument/2006/relationships/image" Target="../media/image1048.png"/><Relationship Id="rId1255" Type="http://schemas.openxmlformats.org/officeDocument/2006/relationships/image" Target="../media/image1255.png"/><Relationship Id="rId264" Type="http://schemas.openxmlformats.org/officeDocument/2006/relationships/image" Target="../media/image264.png"/><Relationship Id="rId471" Type="http://schemas.openxmlformats.org/officeDocument/2006/relationships/image" Target="../media/image471.png"/><Relationship Id="rId1115" Type="http://schemas.openxmlformats.org/officeDocument/2006/relationships/image" Target="../media/image1115.png"/><Relationship Id="rId1322" Type="http://schemas.openxmlformats.org/officeDocument/2006/relationships/image" Target="../media/image1322.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983" Type="http://schemas.openxmlformats.org/officeDocument/2006/relationships/image" Target="../media/image983.png"/><Relationship Id="rId1199" Type="http://schemas.openxmlformats.org/officeDocument/2006/relationships/image" Target="../media/image1199.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 Id="rId1059" Type="http://schemas.openxmlformats.org/officeDocument/2006/relationships/image" Target="../media/image1059.png"/><Relationship Id="rId1266" Type="http://schemas.openxmlformats.org/officeDocument/2006/relationships/image" Target="../media/image1266.png"/><Relationship Id="rId843" Type="http://schemas.openxmlformats.org/officeDocument/2006/relationships/image" Target="../media/image843.png"/><Relationship Id="rId1126" Type="http://schemas.openxmlformats.org/officeDocument/2006/relationships/image" Target="../media/image1126.png"/><Relationship Id="rId275" Type="http://schemas.openxmlformats.org/officeDocument/2006/relationships/image" Target="../media/image275.png"/><Relationship Id="rId482" Type="http://schemas.openxmlformats.org/officeDocument/2006/relationships/image" Target="../media/image482.png"/><Relationship Id="rId703" Type="http://schemas.openxmlformats.org/officeDocument/2006/relationships/image" Target="../media/image703.png"/><Relationship Id="rId910" Type="http://schemas.openxmlformats.org/officeDocument/2006/relationships/image" Target="../media/image910.png"/><Relationship Id="rId135" Type="http://schemas.openxmlformats.org/officeDocument/2006/relationships/image" Target="../media/image135.png"/><Relationship Id="rId342" Type="http://schemas.openxmlformats.org/officeDocument/2006/relationships/image" Target="../media/image342.png"/><Relationship Id="rId787" Type="http://schemas.openxmlformats.org/officeDocument/2006/relationships/image" Target="../media/image787.png"/><Relationship Id="rId994" Type="http://schemas.openxmlformats.org/officeDocument/2006/relationships/image" Target="../media/image994.png"/><Relationship Id="rId202" Type="http://schemas.openxmlformats.org/officeDocument/2006/relationships/image" Target="../media/image202.png"/><Relationship Id="rId647" Type="http://schemas.openxmlformats.org/officeDocument/2006/relationships/image" Target="../media/image647.png"/><Relationship Id="rId854" Type="http://schemas.openxmlformats.org/officeDocument/2006/relationships/image" Target="../media/image854.png"/><Relationship Id="rId1277" Type="http://schemas.openxmlformats.org/officeDocument/2006/relationships/image" Target="../media/image1277.png"/><Relationship Id="rId286" Type="http://schemas.openxmlformats.org/officeDocument/2006/relationships/image" Target="../media/image286.png"/><Relationship Id="rId493" Type="http://schemas.openxmlformats.org/officeDocument/2006/relationships/image" Target="../media/image493.png"/><Relationship Id="rId507" Type="http://schemas.openxmlformats.org/officeDocument/2006/relationships/image" Target="../media/image507.png"/><Relationship Id="rId714" Type="http://schemas.openxmlformats.org/officeDocument/2006/relationships/image" Target="../media/image714.png"/><Relationship Id="rId921" Type="http://schemas.openxmlformats.org/officeDocument/2006/relationships/image" Target="../media/image921.png"/><Relationship Id="rId1137" Type="http://schemas.openxmlformats.org/officeDocument/2006/relationships/image" Target="../media/image1137.png"/><Relationship Id="rId50" Type="http://schemas.openxmlformats.org/officeDocument/2006/relationships/image" Target="../media/image50.png"/><Relationship Id="rId146" Type="http://schemas.openxmlformats.org/officeDocument/2006/relationships/image" Target="../media/image146.png"/><Relationship Id="rId353" Type="http://schemas.openxmlformats.org/officeDocument/2006/relationships/image" Target="../media/image353.png"/><Relationship Id="rId560" Type="http://schemas.openxmlformats.org/officeDocument/2006/relationships/image" Target="../media/image560.png"/><Relationship Id="rId798" Type="http://schemas.openxmlformats.org/officeDocument/2006/relationships/image" Target="../media/image798.png"/><Relationship Id="rId1190" Type="http://schemas.openxmlformats.org/officeDocument/2006/relationships/image" Target="../media/image1190.png"/><Relationship Id="rId1204" Type="http://schemas.openxmlformats.org/officeDocument/2006/relationships/image" Target="../media/image1204.png"/><Relationship Id="rId213" Type="http://schemas.openxmlformats.org/officeDocument/2006/relationships/image" Target="../media/image213.png"/><Relationship Id="rId420" Type="http://schemas.openxmlformats.org/officeDocument/2006/relationships/image" Target="../media/image420.png"/><Relationship Id="rId658" Type="http://schemas.openxmlformats.org/officeDocument/2006/relationships/image" Target="../media/image658.png"/><Relationship Id="rId865" Type="http://schemas.openxmlformats.org/officeDocument/2006/relationships/image" Target="../media/image865.png"/><Relationship Id="rId1050" Type="http://schemas.openxmlformats.org/officeDocument/2006/relationships/image" Target="../media/image1050.png"/><Relationship Id="rId1288" Type="http://schemas.openxmlformats.org/officeDocument/2006/relationships/image" Target="../media/image1288.png"/><Relationship Id="rId297" Type="http://schemas.openxmlformats.org/officeDocument/2006/relationships/image" Target="../media/image297.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148" Type="http://schemas.openxmlformats.org/officeDocument/2006/relationships/image" Target="../media/image1148.png"/><Relationship Id="rId157" Type="http://schemas.openxmlformats.org/officeDocument/2006/relationships/image" Target="../media/image157.png"/><Relationship Id="rId364" Type="http://schemas.openxmlformats.org/officeDocument/2006/relationships/image" Target="../media/image364.png"/><Relationship Id="rId1008" Type="http://schemas.openxmlformats.org/officeDocument/2006/relationships/image" Target="../media/image1008.png"/><Relationship Id="rId1215" Type="http://schemas.openxmlformats.org/officeDocument/2006/relationships/image" Target="../media/image1215.png"/><Relationship Id="rId61" Type="http://schemas.openxmlformats.org/officeDocument/2006/relationships/image" Target="../media/image61.png"/><Relationship Id="rId571" Type="http://schemas.openxmlformats.org/officeDocument/2006/relationships/image" Target="../media/image571.png"/><Relationship Id="rId669" Type="http://schemas.openxmlformats.org/officeDocument/2006/relationships/image" Target="../media/image669.png"/><Relationship Id="rId876" Type="http://schemas.openxmlformats.org/officeDocument/2006/relationships/image" Target="../media/image876.png"/><Relationship Id="rId1299" Type="http://schemas.openxmlformats.org/officeDocument/2006/relationships/image" Target="../media/image1299.png"/><Relationship Id="rId19" Type="http://schemas.openxmlformats.org/officeDocument/2006/relationships/image" Target="../media/image19.png"/><Relationship Id="rId224" Type="http://schemas.openxmlformats.org/officeDocument/2006/relationships/image" Target="../media/image224.png"/><Relationship Id="rId431" Type="http://schemas.openxmlformats.org/officeDocument/2006/relationships/image" Target="../media/image431.png"/><Relationship Id="rId529" Type="http://schemas.openxmlformats.org/officeDocument/2006/relationships/image" Target="../media/image529.png"/><Relationship Id="rId736" Type="http://schemas.openxmlformats.org/officeDocument/2006/relationships/image" Target="../media/image736.png"/><Relationship Id="rId1061" Type="http://schemas.openxmlformats.org/officeDocument/2006/relationships/image" Target="../media/image1061.png"/><Relationship Id="rId1159" Type="http://schemas.openxmlformats.org/officeDocument/2006/relationships/image" Target="../media/image1159.png"/><Relationship Id="rId168" Type="http://schemas.openxmlformats.org/officeDocument/2006/relationships/image" Target="../media/image168.png"/><Relationship Id="rId943" Type="http://schemas.openxmlformats.org/officeDocument/2006/relationships/image" Target="../media/image943.png"/><Relationship Id="rId1019" Type="http://schemas.openxmlformats.org/officeDocument/2006/relationships/image" Target="../media/image1019.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803" Type="http://schemas.openxmlformats.org/officeDocument/2006/relationships/image" Target="../media/image803.png"/><Relationship Id="rId1226" Type="http://schemas.openxmlformats.org/officeDocument/2006/relationships/image" Target="../media/image1226.png"/><Relationship Id="rId3" Type="http://schemas.openxmlformats.org/officeDocument/2006/relationships/image" Target="../media/image3.png"/><Relationship Id="rId235" Type="http://schemas.openxmlformats.org/officeDocument/2006/relationships/image" Target="../media/image235.png"/><Relationship Id="rId442" Type="http://schemas.openxmlformats.org/officeDocument/2006/relationships/image" Target="../media/image442.png"/><Relationship Id="rId887" Type="http://schemas.openxmlformats.org/officeDocument/2006/relationships/image" Target="../media/image887.png"/><Relationship Id="rId1072" Type="http://schemas.openxmlformats.org/officeDocument/2006/relationships/image" Target="../media/image1072.png"/><Relationship Id="rId302" Type="http://schemas.openxmlformats.org/officeDocument/2006/relationships/image" Target="../media/image302.png"/><Relationship Id="rId747" Type="http://schemas.openxmlformats.org/officeDocument/2006/relationships/image" Target="../media/image747.png"/><Relationship Id="rId954" Type="http://schemas.openxmlformats.org/officeDocument/2006/relationships/image" Target="../media/image954.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93" Type="http://schemas.openxmlformats.org/officeDocument/2006/relationships/image" Target="../media/image593.png"/><Relationship Id="rId607" Type="http://schemas.openxmlformats.org/officeDocument/2006/relationships/image" Target="../media/image607.png"/><Relationship Id="rId814" Type="http://schemas.openxmlformats.org/officeDocument/2006/relationships/image" Target="../media/image814.png"/><Relationship Id="rId1237" Type="http://schemas.openxmlformats.org/officeDocument/2006/relationships/image" Target="../media/image1237.png"/><Relationship Id="rId246" Type="http://schemas.openxmlformats.org/officeDocument/2006/relationships/image" Target="../media/image246.png"/><Relationship Id="rId453" Type="http://schemas.openxmlformats.org/officeDocument/2006/relationships/image" Target="../media/image453.png"/><Relationship Id="rId660" Type="http://schemas.openxmlformats.org/officeDocument/2006/relationships/image" Target="../media/image660.png"/><Relationship Id="rId898" Type="http://schemas.openxmlformats.org/officeDocument/2006/relationships/image" Target="../media/image898.png"/><Relationship Id="rId1083" Type="http://schemas.openxmlformats.org/officeDocument/2006/relationships/image" Target="../media/image1083.png"/><Relationship Id="rId1290" Type="http://schemas.openxmlformats.org/officeDocument/2006/relationships/image" Target="../media/image1290.png"/><Relationship Id="rId1304" Type="http://schemas.openxmlformats.org/officeDocument/2006/relationships/image" Target="../media/image1304.png"/><Relationship Id="rId106" Type="http://schemas.openxmlformats.org/officeDocument/2006/relationships/image" Target="../media/image106.png"/><Relationship Id="rId313" Type="http://schemas.openxmlformats.org/officeDocument/2006/relationships/image" Target="../media/image313.png"/><Relationship Id="rId758" Type="http://schemas.openxmlformats.org/officeDocument/2006/relationships/image" Target="../media/image758.png"/><Relationship Id="rId965" Type="http://schemas.openxmlformats.org/officeDocument/2006/relationships/image" Target="../media/image965.png"/><Relationship Id="rId1150" Type="http://schemas.openxmlformats.org/officeDocument/2006/relationships/image" Target="../media/image1150.png"/><Relationship Id="rId10" Type="http://schemas.openxmlformats.org/officeDocument/2006/relationships/image" Target="../media/image10.png"/><Relationship Id="rId94" Type="http://schemas.openxmlformats.org/officeDocument/2006/relationships/image" Target="../media/image94.png"/><Relationship Id="rId397" Type="http://schemas.openxmlformats.org/officeDocument/2006/relationships/image" Target="../media/image397.png"/><Relationship Id="rId520" Type="http://schemas.openxmlformats.org/officeDocument/2006/relationships/image" Target="../media/image520.png"/><Relationship Id="rId618" Type="http://schemas.openxmlformats.org/officeDocument/2006/relationships/image" Target="../media/image618.png"/><Relationship Id="rId825" Type="http://schemas.openxmlformats.org/officeDocument/2006/relationships/image" Target="../media/image825.png"/><Relationship Id="rId1248" Type="http://schemas.openxmlformats.org/officeDocument/2006/relationships/image" Target="../media/image1248.png"/><Relationship Id="rId257" Type="http://schemas.openxmlformats.org/officeDocument/2006/relationships/image" Target="../media/image257.png"/><Relationship Id="rId464" Type="http://schemas.openxmlformats.org/officeDocument/2006/relationships/image" Target="../media/image464.png"/><Relationship Id="rId1010" Type="http://schemas.openxmlformats.org/officeDocument/2006/relationships/image" Target="../media/image1010.png"/><Relationship Id="rId1094" Type="http://schemas.openxmlformats.org/officeDocument/2006/relationships/image" Target="../media/image1094.png"/><Relationship Id="rId1108" Type="http://schemas.openxmlformats.org/officeDocument/2006/relationships/image" Target="../media/image1108.png"/><Relationship Id="rId1315" Type="http://schemas.openxmlformats.org/officeDocument/2006/relationships/image" Target="../media/image1315.png"/><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976" Type="http://schemas.openxmlformats.org/officeDocument/2006/relationships/image" Target="../media/image976.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161" Type="http://schemas.openxmlformats.org/officeDocument/2006/relationships/image" Target="../media/image1161.png"/><Relationship Id="rId1259" Type="http://schemas.openxmlformats.org/officeDocument/2006/relationships/image" Target="../media/image1259.png"/><Relationship Id="rId836" Type="http://schemas.openxmlformats.org/officeDocument/2006/relationships/image" Target="../media/image836.png"/><Relationship Id="rId1021" Type="http://schemas.openxmlformats.org/officeDocument/2006/relationships/image" Target="../media/image1021.png"/><Relationship Id="rId1119" Type="http://schemas.openxmlformats.org/officeDocument/2006/relationships/image" Target="../media/image1119.png"/><Relationship Id="rId903" Type="http://schemas.openxmlformats.org/officeDocument/2006/relationships/image" Target="../media/image903.png"/><Relationship Id="rId32" Type="http://schemas.openxmlformats.org/officeDocument/2006/relationships/image" Target="../media/image32.png"/><Relationship Id="rId181" Type="http://schemas.openxmlformats.org/officeDocument/2006/relationships/image" Target="../media/image181.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998" Type="http://schemas.openxmlformats.org/officeDocument/2006/relationships/image" Target="../media/image998.png"/><Relationship Id="rId1183" Type="http://schemas.openxmlformats.org/officeDocument/2006/relationships/image" Target="../media/image1183.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1043" Type="http://schemas.openxmlformats.org/officeDocument/2006/relationships/image" Target="../media/image1043.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1250" Type="http://schemas.openxmlformats.org/officeDocument/2006/relationships/image" Target="../media/image1250.png"/><Relationship Id="rId1110" Type="http://schemas.openxmlformats.org/officeDocument/2006/relationships/image" Target="../media/image1110.png"/><Relationship Id="rId1208" Type="http://schemas.openxmlformats.org/officeDocument/2006/relationships/image" Target="../media/image1208.png"/><Relationship Id="rId54" Type="http://schemas.openxmlformats.org/officeDocument/2006/relationships/image" Target="../media/image54.png"/><Relationship Id="rId270" Type="http://schemas.openxmlformats.org/officeDocument/2006/relationships/image" Target="../media/image270.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1065" Type="http://schemas.openxmlformats.org/officeDocument/2006/relationships/image" Target="../media/image1065.png"/><Relationship Id="rId1272" Type="http://schemas.openxmlformats.org/officeDocument/2006/relationships/image" Target="../media/image1272.png"/><Relationship Id="rId502" Type="http://schemas.openxmlformats.org/officeDocument/2006/relationships/image" Target="../media/image502.png"/><Relationship Id="rId947" Type="http://schemas.openxmlformats.org/officeDocument/2006/relationships/image" Target="../media/image947.png"/><Relationship Id="rId1132" Type="http://schemas.openxmlformats.org/officeDocument/2006/relationships/image" Target="../media/image1132.png"/><Relationship Id="rId76" Type="http://schemas.openxmlformats.org/officeDocument/2006/relationships/image" Target="../media/image76.png"/><Relationship Id="rId807" Type="http://schemas.openxmlformats.org/officeDocument/2006/relationships/image" Target="../media/image807.png"/><Relationship Id="rId292" Type="http://schemas.openxmlformats.org/officeDocument/2006/relationships/image" Target="../media/image292.png"/><Relationship Id="rId597" Type="http://schemas.openxmlformats.org/officeDocument/2006/relationships/image" Target="../media/image597.png"/><Relationship Id="rId152" Type="http://schemas.openxmlformats.org/officeDocument/2006/relationships/image" Target="../media/image152.png"/><Relationship Id="rId457" Type="http://schemas.openxmlformats.org/officeDocument/2006/relationships/image" Target="../media/image457.png"/><Relationship Id="rId1087" Type="http://schemas.openxmlformats.org/officeDocument/2006/relationships/image" Target="../media/image1087.png"/><Relationship Id="rId1294" Type="http://schemas.openxmlformats.org/officeDocument/2006/relationships/image" Target="../media/image1294.png"/><Relationship Id="rId664" Type="http://schemas.openxmlformats.org/officeDocument/2006/relationships/image" Target="../media/image664.png"/><Relationship Id="rId871" Type="http://schemas.openxmlformats.org/officeDocument/2006/relationships/image" Target="../media/image871.png"/><Relationship Id="rId969" Type="http://schemas.openxmlformats.org/officeDocument/2006/relationships/image" Target="../media/image969.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1154" Type="http://schemas.openxmlformats.org/officeDocument/2006/relationships/image" Target="../media/image1154.png"/><Relationship Id="rId98" Type="http://schemas.openxmlformats.org/officeDocument/2006/relationships/image" Target="../media/image98.png"/><Relationship Id="rId829" Type="http://schemas.openxmlformats.org/officeDocument/2006/relationships/image" Target="../media/image829.png"/><Relationship Id="rId1014" Type="http://schemas.openxmlformats.org/officeDocument/2006/relationships/image" Target="../media/image1014.png"/><Relationship Id="rId1221" Type="http://schemas.openxmlformats.org/officeDocument/2006/relationships/image" Target="../media/image1221.png"/><Relationship Id="rId1319" Type="http://schemas.openxmlformats.org/officeDocument/2006/relationships/image" Target="../media/image1319.png"/><Relationship Id="rId25" Type="http://schemas.openxmlformats.org/officeDocument/2006/relationships/image" Target="../media/image25.png"/><Relationship Id="rId174" Type="http://schemas.openxmlformats.org/officeDocument/2006/relationships/image" Target="../media/image174.png"/><Relationship Id="rId381" Type="http://schemas.openxmlformats.org/officeDocument/2006/relationships/image" Target="../media/image381.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176" Type="http://schemas.openxmlformats.org/officeDocument/2006/relationships/image" Target="../media/image1176.png"/><Relationship Id="rId101" Type="http://schemas.openxmlformats.org/officeDocument/2006/relationships/image" Target="../media/image101.png"/><Relationship Id="rId406" Type="http://schemas.openxmlformats.org/officeDocument/2006/relationships/image" Target="../media/image406.png"/><Relationship Id="rId960" Type="http://schemas.openxmlformats.org/officeDocument/2006/relationships/image" Target="../media/image960.png"/><Relationship Id="rId1036" Type="http://schemas.openxmlformats.org/officeDocument/2006/relationships/image" Target="../media/image1036.png"/><Relationship Id="rId1243" Type="http://schemas.openxmlformats.org/officeDocument/2006/relationships/image" Target="../media/image1243.png"/><Relationship Id="rId613" Type="http://schemas.openxmlformats.org/officeDocument/2006/relationships/image" Target="../media/image613.png"/><Relationship Id="rId820" Type="http://schemas.openxmlformats.org/officeDocument/2006/relationships/image" Target="../media/image820.png"/><Relationship Id="rId918" Type="http://schemas.openxmlformats.org/officeDocument/2006/relationships/image" Target="../media/image918.png"/><Relationship Id="rId1103" Type="http://schemas.openxmlformats.org/officeDocument/2006/relationships/image" Target="../media/image1103.png"/><Relationship Id="rId1310" Type="http://schemas.openxmlformats.org/officeDocument/2006/relationships/image" Target="../media/image1310.png"/><Relationship Id="rId47" Type="http://schemas.openxmlformats.org/officeDocument/2006/relationships/image" Target="../media/image47.png"/><Relationship Id="rId196" Type="http://schemas.openxmlformats.org/officeDocument/2006/relationships/image" Target="../media/image196.png"/><Relationship Id="rId263" Type="http://schemas.openxmlformats.org/officeDocument/2006/relationships/image" Target="../media/image263.png"/><Relationship Id="rId470" Type="http://schemas.openxmlformats.org/officeDocument/2006/relationships/image" Target="../media/image470.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982" Type="http://schemas.openxmlformats.org/officeDocument/2006/relationships/image" Target="../media/image982.png"/><Relationship Id="rId1198" Type="http://schemas.openxmlformats.org/officeDocument/2006/relationships/image" Target="../media/image1198.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1058" Type="http://schemas.openxmlformats.org/officeDocument/2006/relationships/image" Target="../media/image1058.png"/><Relationship Id="rId1265" Type="http://schemas.openxmlformats.org/officeDocument/2006/relationships/image" Target="../media/image1265.png"/><Relationship Id="rId702" Type="http://schemas.openxmlformats.org/officeDocument/2006/relationships/image" Target="../media/image702.png"/><Relationship Id="rId1125" Type="http://schemas.openxmlformats.org/officeDocument/2006/relationships/image" Target="../media/image1125.png"/><Relationship Id="rId69" Type="http://schemas.openxmlformats.org/officeDocument/2006/relationships/image" Target="../media/image69.png"/><Relationship Id="rId285" Type="http://schemas.openxmlformats.org/officeDocument/2006/relationships/image" Target="../media/image285.png"/><Relationship Id="rId492" Type="http://schemas.openxmlformats.org/officeDocument/2006/relationships/image" Target="../media/image492.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1287" Type="http://schemas.openxmlformats.org/officeDocument/2006/relationships/image" Target="../media/image1287.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1147" Type="http://schemas.openxmlformats.org/officeDocument/2006/relationships/image" Target="../media/image1147.png"/><Relationship Id="rId60" Type="http://schemas.openxmlformats.org/officeDocument/2006/relationships/image" Target="../media/image60.png"/><Relationship Id="rId1007" Type="http://schemas.openxmlformats.org/officeDocument/2006/relationships/image" Target="../media/image1007.png"/><Relationship Id="rId1214" Type="http://schemas.openxmlformats.org/officeDocument/2006/relationships/image" Target="../media/image1214.png"/><Relationship Id="rId18" Type="http://schemas.openxmlformats.org/officeDocument/2006/relationships/image" Target="../media/image18.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234" Type="http://schemas.openxmlformats.org/officeDocument/2006/relationships/image" Target="../media/image234.png"/><Relationship Id="rId679" Type="http://schemas.openxmlformats.org/officeDocument/2006/relationships/image" Target="../media/image679.png"/><Relationship Id="rId886" Type="http://schemas.openxmlformats.org/officeDocument/2006/relationships/image" Target="../media/image886.png"/><Relationship Id="rId2" Type="http://schemas.openxmlformats.org/officeDocument/2006/relationships/image" Target="../media/image2.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071" Type="http://schemas.openxmlformats.org/officeDocument/2006/relationships/image" Target="../media/image1071.png"/><Relationship Id="rId1169" Type="http://schemas.openxmlformats.org/officeDocument/2006/relationships/image" Target="../media/image1169.png"/><Relationship Id="rId301" Type="http://schemas.openxmlformats.org/officeDocument/2006/relationships/image" Target="../media/image301.png"/><Relationship Id="rId953" Type="http://schemas.openxmlformats.org/officeDocument/2006/relationships/image" Target="../media/image953.png"/><Relationship Id="rId1029" Type="http://schemas.openxmlformats.org/officeDocument/2006/relationships/image" Target="../media/image1029.png"/><Relationship Id="rId1236" Type="http://schemas.openxmlformats.org/officeDocument/2006/relationships/image" Target="../media/image1236.png"/><Relationship Id="rId82" Type="http://schemas.openxmlformats.org/officeDocument/2006/relationships/image" Target="../media/image82.png"/><Relationship Id="rId606" Type="http://schemas.openxmlformats.org/officeDocument/2006/relationships/image" Target="../media/image606.png"/><Relationship Id="rId813" Type="http://schemas.openxmlformats.org/officeDocument/2006/relationships/image" Target="../media/image813.png"/><Relationship Id="rId1303" Type="http://schemas.openxmlformats.org/officeDocument/2006/relationships/image" Target="../media/image1303.png"/><Relationship Id="rId189" Type="http://schemas.openxmlformats.org/officeDocument/2006/relationships/image" Target="../media/image189.png"/><Relationship Id="rId396" Type="http://schemas.openxmlformats.org/officeDocument/2006/relationships/image" Target="../media/image396.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093" Type="http://schemas.openxmlformats.org/officeDocument/2006/relationships/image" Target="../media/image1093.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975" Type="http://schemas.openxmlformats.org/officeDocument/2006/relationships/image" Target="../media/image975.png"/><Relationship Id="rId1160" Type="http://schemas.openxmlformats.org/officeDocument/2006/relationships/image" Target="../media/image1160.png"/><Relationship Id="rId628" Type="http://schemas.openxmlformats.org/officeDocument/2006/relationships/image" Target="../media/image628.png"/><Relationship Id="rId835" Type="http://schemas.openxmlformats.org/officeDocument/2006/relationships/image" Target="../media/image835.png"/><Relationship Id="rId1258" Type="http://schemas.openxmlformats.org/officeDocument/2006/relationships/image" Target="../media/image1258.png"/><Relationship Id="rId1020" Type="http://schemas.openxmlformats.org/officeDocument/2006/relationships/image" Target="../media/image1020.png"/><Relationship Id="rId1118" Type="http://schemas.openxmlformats.org/officeDocument/2006/relationships/image" Target="../media/image1118.png"/><Relationship Id="rId902" Type="http://schemas.openxmlformats.org/officeDocument/2006/relationships/image" Target="../media/image902.png"/><Relationship Id="rId31" Type="http://schemas.openxmlformats.org/officeDocument/2006/relationships/image" Target="../media/image31.png"/><Relationship Id="rId180" Type="http://schemas.openxmlformats.org/officeDocument/2006/relationships/image" Target="../media/image180.png"/><Relationship Id="rId278" Type="http://schemas.openxmlformats.org/officeDocument/2006/relationships/image" Target="../media/image278.png"/><Relationship Id="rId485" Type="http://schemas.openxmlformats.org/officeDocument/2006/relationships/image" Target="../media/image485.png"/><Relationship Id="rId692" Type="http://schemas.openxmlformats.org/officeDocument/2006/relationships/image" Target="../media/image69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997" Type="http://schemas.openxmlformats.org/officeDocument/2006/relationships/image" Target="../media/image997.png"/><Relationship Id="rId1182" Type="http://schemas.openxmlformats.org/officeDocument/2006/relationships/image" Target="../media/image1182.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1042" Type="http://schemas.openxmlformats.org/officeDocument/2006/relationships/image" Target="../media/image1042.png"/><Relationship Id="rId717" Type="http://schemas.openxmlformats.org/officeDocument/2006/relationships/image" Target="../media/image717.png"/><Relationship Id="rId924" Type="http://schemas.openxmlformats.org/officeDocument/2006/relationships/image" Target="../media/image924.png"/><Relationship Id="rId53" Type="http://schemas.openxmlformats.org/officeDocument/2006/relationships/image" Target="../media/image53.png"/><Relationship Id="rId1207" Type="http://schemas.openxmlformats.org/officeDocument/2006/relationships/image" Target="../media/image1207.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1064" Type="http://schemas.openxmlformats.org/officeDocument/2006/relationships/image" Target="../media/image1064.png"/><Relationship Id="rId1271" Type="http://schemas.openxmlformats.org/officeDocument/2006/relationships/image" Target="../media/image1271.png"/><Relationship Id="rId501" Type="http://schemas.openxmlformats.org/officeDocument/2006/relationships/image" Target="../media/image501.png"/><Relationship Id="rId946" Type="http://schemas.openxmlformats.org/officeDocument/2006/relationships/image" Target="../media/image946.png"/><Relationship Id="rId1131" Type="http://schemas.openxmlformats.org/officeDocument/2006/relationships/image" Target="../media/image1131.png"/><Relationship Id="rId1229" Type="http://schemas.openxmlformats.org/officeDocument/2006/relationships/image" Target="../media/image1229.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6</xdr:row>
      <xdr:rowOff>209550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7</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8</xdr:row>
      <xdr:rowOff>28575</xdr:rowOff>
    </xdr:from>
    <xdr:to>
      <xdr:col>3</xdr:col>
      <xdr:colOff>1552575</xdr:colOff>
      <xdr:row>8</xdr:row>
      <xdr:rowOff>1266825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9</xdr:row>
      <xdr:rowOff>28575</xdr:rowOff>
    </xdr:from>
    <xdr:to>
      <xdr:col>3</xdr:col>
      <xdr:colOff>1552575</xdr:colOff>
      <xdr:row>9</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28575</xdr:rowOff>
    </xdr:from>
    <xdr:to>
      <xdr:col>3</xdr:col>
      <xdr:colOff>1552575</xdr:colOff>
      <xdr:row>14</xdr:row>
      <xdr:rowOff>333375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38100</xdr:rowOff>
    </xdr:from>
    <xdr:to>
      <xdr:col>3</xdr:col>
      <xdr:colOff>1552575</xdr:colOff>
      <xdr:row>16</xdr:row>
      <xdr:rowOff>638175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38100</xdr:rowOff>
    </xdr:from>
    <xdr:to>
      <xdr:col>3</xdr:col>
      <xdr:colOff>1552575</xdr:colOff>
      <xdr:row>18</xdr:row>
      <xdr:rowOff>638175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19</xdr:row>
      <xdr:rowOff>28575</xdr:rowOff>
    </xdr:from>
    <xdr:to>
      <xdr:col>3</xdr:col>
      <xdr:colOff>1552575</xdr:colOff>
      <xdr:row>25</xdr:row>
      <xdr:rowOff>171450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26</xdr:row>
      <xdr:rowOff>38100</xdr:rowOff>
    </xdr:from>
    <xdr:to>
      <xdr:col>3</xdr:col>
      <xdr:colOff>1552575</xdr:colOff>
      <xdr:row>27</xdr:row>
      <xdr:rowOff>638175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32</xdr:row>
      <xdr:rowOff>333375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33</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34</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28575</xdr:rowOff>
    </xdr:from>
    <xdr:to>
      <xdr:col>3</xdr:col>
      <xdr:colOff>1552575</xdr:colOff>
      <xdr:row>37</xdr:row>
      <xdr:rowOff>419100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38</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28575</xdr:rowOff>
    </xdr:from>
    <xdr:to>
      <xdr:col>3</xdr:col>
      <xdr:colOff>1552575</xdr:colOff>
      <xdr:row>43</xdr:row>
      <xdr:rowOff>333375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46</xdr:row>
      <xdr:rowOff>419100</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49</xdr:row>
      <xdr:rowOff>419100</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54</xdr:row>
      <xdr:rowOff>333375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55</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28575</xdr:rowOff>
    </xdr:from>
    <xdr:to>
      <xdr:col>3</xdr:col>
      <xdr:colOff>1552575</xdr:colOff>
      <xdr:row>56</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57</xdr:row>
      <xdr:rowOff>28575</xdr:rowOff>
    </xdr:from>
    <xdr:to>
      <xdr:col>3</xdr:col>
      <xdr:colOff>1552575</xdr:colOff>
      <xdr:row>60</xdr:row>
      <xdr:rowOff>209550</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64</xdr:row>
      <xdr:rowOff>209550</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67</xdr:row>
      <xdr:rowOff>419100</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38100</xdr:rowOff>
    </xdr:from>
    <xdr:to>
      <xdr:col>3</xdr:col>
      <xdr:colOff>1552575</xdr:colOff>
      <xdr:row>69</xdr:row>
      <xdr:rowOff>638175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28575</xdr:rowOff>
    </xdr:from>
    <xdr:to>
      <xdr:col>3</xdr:col>
      <xdr:colOff>1552575</xdr:colOff>
      <xdr:row>73</xdr:row>
      <xdr:rowOff>209550</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28575</xdr:rowOff>
    </xdr:from>
    <xdr:to>
      <xdr:col>3</xdr:col>
      <xdr:colOff>1552575</xdr:colOff>
      <xdr:row>74</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76</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77</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78</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79</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80</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81</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82</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84</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87</xdr:row>
      <xdr:rowOff>419100</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92</xdr:row>
      <xdr:rowOff>333375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97</xdr:row>
      <xdr:rowOff>333375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98</xdr:row>
      <xdr:rowOff>28575</xdr:rowOff>
    </xdr:from>
    <xdr:to>
      <xdr:col>3</xdr:col>
      <xdr:colOff>1552575</xdr:colOff>
      <xdr:row>101</xdr:row>
      <xdr:rowOff>209550</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28575</xdr:rowOff>
    </xdr:from>
    <xdr:to>
      <xdr:col>3</xdr:col>
      <xdr:colOff>1552575</xdr:colOff>
      <xdr:row>102</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103</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104</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105</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28575</xdr:rowOff>
    </xdr:from>
    <xdr:to>
      <xdr:col>3</xdr:col>
      <xdr:colOff>1552575</xdr:colOff>
      <xdr:row>106</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107</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28575</xdr:rowOff>
    </xdr:from>
    <xdr:to>
      <xdr:col>3</xdr:col>
      <xdr:colOff>1552575</xdr:colOff>
      <xdr:row>108</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109</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110</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28575</xdr:rowOff>
    </xdr:from>
    <xdr:to>
      <xdr:col>3</xdr:col>
      <xdr:colOff>1552575</xdr:colOff>
      <xdr:row>111</xdr:row>
      <xdr:rowOff>1266825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112</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28575</xdr:rowOff>
    </xdr:from>
    <xdr:to>
      <xdr:col>3</xdr:col>
      <xdr:colOff>1552575</xdr:colOff>
      <xdr:row>113</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114</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28575</xdr:rowOff>
    </xdr:from>
    <xdr:to>
      <xdr:col>3</xdr:col>
      <xdr:colOff>1552575</xdr:colOff>
      <xdr:row>115</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116</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117</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28575</xdr:rowOff>
    </xdr:from>
    <xdr:to>
      <xdr:col>3</xdr:col>
      <xdr:colOff>1552575</xdr:colOff>
      <xdr:row>118</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119</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120</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121</xdr:row>
      <xdr:rowOff>28575</xdr:rowOff>
    </xdr:from>
    <xdr:to>
      <xdr:col>3</xdr:col>
      <xdr:colOff>1552575</xdr:colOff>
      <xdr:row>121</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122</xdr:row>
      <xdr:rowOff>28575</xdr:rowOff>
    </xdr:from>
    <xdr:to>
      <xdr:col>3</xdr:col>
      <xdr:colOff>1552575</xdr:colOff>
      <xdr:row>124</xdr:row>
      <xdr:rowOff>419100</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125</xdr:row>
      <xdr:rowOff>28575</xdr:rowOff>
    </xdr:from>
    <xdr:to>
      <xdr:col>3</xdr:col>
      <xdr:colOff>1552575</xdr:colOff>
      <xdr:row>125</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126</xdr:row>
      <xdr:rowOff>28575</xdr:rowOff>
    </xdr:from>
    <xdr:to>
      <xdr:col>3</xdr:col>
      <xdr:colOff>1552575</xdr:colOff>
      <xdr:row>130</xdr:row>
      <xdr:rowOff>333375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131</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38100</xdr:rowOff>
    </xdr:from>
    <xdr:to>
      <xdr:col>3</xdr:col>
      <xdr:colOff>1552575</xdr:colOff>
      <xdr:row>133</xdr:row>
      <xdr:rowOff>638175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38100</xdr:rowOff>
    </xdr:from>
    <xdr:to>
      <xdr:col>3</xdr:col>
      <xdr:colOff>1552575</xdr:colOff>
      <xdr:row>135</xdr:row>
      <xdr:rowOff>638175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28575</xdr:rowOff>
    </xdr:from>
    <xdr:to>
      <xdr:col>3</xdr:col>
      <xdr:colOff>1552575</xdr:colOff>
      <xdr:row>136</xdr:row>
      <xdr:rowOff>1266825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38100</xdr:rowOff>
    </xdr:from>
    <xdr:to>
      <xdr:col>3</xdr:col>
      <xdr:colOff>1552575</xdr:colOff>
      <xdr:row>138</xdr:row>
      <xdr:rowOff>638175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28575</xdr:rowOff>
    </xdr:from>
    <xdr:to>
      <xdr:col>3</xdr:col>
      <xdr:colOff>1552575</xdr:colOff>
      <xdr:row>139</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38100</xdr:rowOff>
    </xdr:from>
    <xdr:to>
      <xdr:col>3</xdr:col>
      <xdr:colOff>1552575</xdr:colOff>
      <xdr:row>141</xdr:row>
      <xdr:rowOff>638175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142</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28575</xdr:rowOff>
    </xdr:from>
    <xdr:to>
      <xdr:col>3</xdr:col>
      <xdr:colOff>1552575</xdr:colOff>
      <xdr:row>143</xdr:row>
      <xdr:rowOff>1266825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144</xdr:row>
      <xdr:rowOff>28575</xdr:rowOff>
    </xdr:from>
    <xdr:to>
      <xdr:col>3</xdr:col>
      <xdr:colOff>1552575</xdr:colOff>
      <xdr:row>144</xdr:row>
      <xdr:rowOff>1266825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148</xdr:row>
      <xdr:rowOff>209550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38100</xdr:rowOff>
    </xdr:from>
    <xdr:to>
      <xdr:col>3</xdr:col>
      <xdr:colOff>1552575</xdr:colOff>
      <xdr:row>150</xdr:row>
      <xdr:rowOff>638175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151</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152</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153</xdr:row>
      <xdr:rowOff>28575</xdr:rowOff>
    </xdr:from>
    <xdr:to>
      <xdr:col>3</xdr:col>
      <xdr:colOff>1552575</xdr:colOff>
      <xdr:row>153</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38100</xdr:rowOff>
    </xdr:from>
    <xdr:to>
      <xdr:col>3</xdr:col>
      <xdr:colOff>1552575</xdr:colOff>
      <xdr:row>155</xdr:row>
      <xdr:rowOff>638175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156</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160</xdr:row>
      <xdr:rowOff>209550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28575</xdr:rowOff>
    </xdr:from>
    <xdr:to>
      <xdr:col>3</xdr:col>
      <xdr:colOff>1552575</xdr:colOff>
      <xdr:row>161</xdr:row>
      <xdr:rowOff>1266825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162</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28575</xdr:rowOff>
    </xdr:from>
    <xdr:to>
      <xdr:col>3</xdr:col>
      <xdr:colOff>1552575</xdr:colOff>
      <xdr:row>163</xdr:row>
      <xdr:rowOff>1266825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28575</xdr:rowOff>
    </xdr:from>
    <xdr:to>
      <xdr:col>3</xdr:col>
      <xdr:colOff>1552575</xdr:colOff>
      <xdr:row>164</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28575</xdr:rowOff>
    </xdr:from>
    <xdr:to>
      <xdr:col>3</xdr:col>
      <xdr:colOff>1552575</xdr:colOff>
      <xdr:row>165</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168</xdr:row>
      <xdr:rowOff>419100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169</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172</xdr:row>
      <xdr:rowOff>419100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175</xdr:row>
      <xdr:rowOff>419100</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176</xdr:row>
      <xdr:rowOff>38100</xdr:rowOff>
    </xdr:from>
    <xdr:to>
      <xdr:col>3</xdr:col>
      <xdr:colOff>1552575</xdr:colOff>
      <xdr:row>177</xdr:row>
      <xdr:rowOff>638175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178</xdr:row>
      <xdr:rowOff>38100</xdr:rowOff>
    </xdr:from>
    <xdr:to>
      <xdr:col>3</xdr:col>
      <xdr:colOff>1552575</xdr:colOff>
      <xdr:row>179</xdr:row>
      <xdr:rowOff>638175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180</xdr:row>
      <xdr:rowOff>28575</xdr:rowOff>
    </xdr:from>
    <xdr:to>
      <xdr:col>3</xdr:col>
      <xdr:colOff>1552575</xdr:colOff>
      <xdr:row>183</xdr:row>
      <xdr:rowOff>209550</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28575</xdr:rowOff>
    </xdr:from>
    <xdr:to>
      <xdr:col>3</xdr:col>
      <xdr:colOff>1552575</xdr:colOff>
      <xdr:row>184</xdr:row>
      <xdr:rowOff>1266825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185</xdr:row>
      <xdr:rowOff>28575</xdr:rowOff>
    </xdr:from>
    <xdr:to>
      <xdr:col>3</xdr:col>
      <xdr:colOff>1552575</xdr:colOff>
      <xdr:row>185</xdr:row>
      <xdr:rowOff>1266825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186</xdr:row>
      <xdr:rowOff>28575</xdr:rowOff>
    </xdr:from>
    <xdr:to>
      <xdr:col>3</xdr:col>
      <xdr:colOff>1552575</xdr:colOff>
      <xdr:row>186</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38100</xdr:rowOff>
    </xdr:from>
    <xdr:to>
      <xdr:col>3</xdr:col>
      <xdr:colOff>1552575</xdr:colOff>
      <xdr:row>188</xdr:row>
      <xdr:rowOff>638175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191</xdr:row>
      <xdr:rowOff>419100</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192</xdr:row>
      <xdr:rowOff>28575</xdr:rowOff>
    </xdr:from>
    <xdr:to>
      <xdr:col>3</xdr:col>
      <xdr:colOff>1552575</xdr:colOff>
      <xdr:row>192</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193</xdr:row>
      <xdr:rowOff>1266825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194</xdr:row>
      <xdr:rowOff>28575</xdr:rowOff>
    </xdr:from>
    <xdr:to>
      <xdr:col>3</xdr:col>
      <xdr:colOff>1552575</xdr:colOff>
      <xdr:row>196</xdr:row>
      <xdr:rowOff>419100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28575</xdr:rowOff>
    </xdr:from>
    <xdr:to>
      <xdr:col>3</xdr:col>
      <xdr:colOff>1552575</xdr:colOff>
      <xdr:row>199</xdr:row>
      <xdr:rowOff>419100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200</xdr:row>
      <xdr:rowOff>28575</xdr:rowOff>
    </xdr:from>
    <xdr:to>
      <xdr:col>3</xdr:col>
      <xdr:colOff>1552575</xdr:colOff>
      <xdr:row>204</xdr:row>
      <xdr:rowOff>333375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28575</xdr:rowOff>
    </xdr:from>
    <xdr:to>
      <xdr:col>3</xdr:col>
      <xdr:colOff>1552575</xdr:colOff>
      <xdr:row>205</xdr:row>
      <xdr:rowOff>1266825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28575</xdr:rowOff>
    </xdr:from>
    <xdr:to>
      <xdr:col>3</xdr:col>
      <xdr:colOff>1552575</xdr:colOff>
      <xdr:row>208</xdr:row>
      <xdr:rowOff>419100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38100</xdr:rowOff>
    </xdr:from>
    <xdr:to>
      <xdr:col>3</xdr:col>
      <xdr:colOff>1552575</xdr:colOff>
      <xdr:row>210</xdr:row>
      <xdr:rowOff>638175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211</xdr:row>
      <xdr:rowOff>28575</xdr:rowOff>
    </xdr:from>
    <xdr:to>
      <xdr:col>3</xdr:col>
      <xdr:colOff>1552575</xdr:colOff>
      <xdr:row>215</xdr:row>
      <xdr:rowOff>333375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220</xdr:row>
      <xdr:rowOff>333375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221</xdr:row>
      <xdr:rowOff>38100</xdr:rowOff>
    </xdr:from>
    <xdr:to>
      <xdr:col>3</xdr:col>
      <xdr:colOff>1552575</xdr:colOff>
      <xdr:row>222</xdr:row>
      <xdr:rowOff>638175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223</xdr:row>
      <xdr:rowOff>28575</xdr:rowOff>
    </xdr:from>
    <xdr:to>
      <xdr:col>3</xdr:col>
      <xdr:colOff>1552575</xdr:colOff>
      <xdr:row>223</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224</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28575</xdr:rowOff>
    </xdr:from>
    <xdr:to>
      <xdr:col>3</xdr:col>
      <xdr:colOff>1552575</xdr:colOff>
      <xdr:row>225</xdr:row>
      <xdr:rowOff>1266825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226</xdr:row>
      <xdr:rowOff>38100</xdr:rowOff>
    </xdr:from>
    <xdr:to>
      <xdr:col>3</xdr:col>
      <xdr:colOff>1552575</xdr:colOff>
      <xdr:row>227</xdr:row>
      <xdr:rowOff>638175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28575</xdr:rowOff>
    </xdr:from>
    <xdr:to>
      <xdr:col>3</xdr:col>
      <xdr:colOff>1552575</xdr:colOff>
      <xdr:row>230</xdr:row>
      <xdr:rowOff>419100</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28575</xdr:rowOff>
    </xdr:from>
    <xdr:to>
      <xdr:col>3</xdr:col>
      <xdr:colOff>1552575</xdr:colOff>
      <xdr:row>231</xdr:row>
      <xdr:rowOff>1266825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232</xdr:row>
      <xdr:rowOff>28575</xdr:rowOff>
    </xdr:from>
    <xdr:to>
      <xdr:col>3</xdr:col>
      <xdr:colOff>1552575</xdr:colOff>
      <xdr:row>232</xdr:row>
      <xdr:rowOff>1266825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28575</xdr:rowOff>
    </xdr:from>
    <xdr:to>
      <xdr:col>3</xdr:col>
      <xdr:colOff>1552575</xdr:colOff>
      <xdr:row>233</xdr:row>
      <xdr:rowOff>1266825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234</xdr:row>
      <xdr:rowOff>28575</xdr:rowOff>
    </xdr:from>
    <xdr:to>
      <xdr:col>3</xdr:col>
      <xdr:colOff>1552575</xdr:colOff>
      <xdr:row>234</xdr:row>
      <xdr:rowOff>1266825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28575</xdr:rowOff>
    </xdr:from>
    <xdr:to>
      <xdr:col>3</xdr:col>
      <xdr:colOff>1552575</xdr:colOff>
      <xdr:row>239</xdr:row>
      <xdr:rowOff>333375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28575</xdr:rowOff>
    </xdr:from>
    <xdr:to>
      <xdr:col>3</xdr:col>
      <xdr:colOff>1552575</xdr:colOff>
      <xdr:row>243</xdr:row>
      <xdr:rowOff>209550</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38100</xdr:rowOff>
    </xdr:from>
    <xdr:to>
      <xdr:col>3</xdr:col>
      <xdr:colOff>1552575</xdr:colOff>
      <xdr:row>245</xdr:row>
      <xdr:rowOff>638175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246</xdr:row>
      <xdr:rowOff>28575</xdr:rowOff>
    </xdr:from>
    <xdr:to>
      <xdr:col>3</xdr:col>
      <xdr:colOff>1552575</xdr:colOff>
      <xdr:row>246</xdr:row>
      <xdr:rowOff>1266825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247</xdr:row>
      <xdr:rowOff>28575</xdr:rowOff>
    </xdr:from>
    <xdr:to>
      <xdr:col>3</xdr:col>
      <xdr:colOff>1552575</xdr:colOff>
      <xdr:row>249</xdr:row>
      <xdr:rowOff>419100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28575</xdr:rowOff>
    </xdr:from>
    <xdr:to>
      <xdr:col>3</xdr:col>
      <xdr:colOff>1552575</xdr:colOff>
      <xdr:row>250</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251</xdr:row>
      <xdr:rowOff>38100</xdr:rowOff>
    </xdr:from>
    <xdr:to>
      <xdr:col>3</xdr:col>
      <xdr:colOff>1552575</xdr:colOff>
      <xdr:row>252</xdr:row>
      <xdr:rowOff>638175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253</xdr:row>
      <xdr:rowOff>38100</xdr:rowOff>
    </xdr:from>
    <xdr:to>
      <xdr:col>3</xdr:col>
      <xdr:colOff>1552575</xdr:colOff>
      <xdr:row>254</xdr:row>
      <xdr:rowOff>638175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255</xdr:row>
      <xdr:rowOff>28575</xdr:rowOff>
    </xdr:from>
    <xdr:to>
      <xdr:col>3</xdr:col>
      <xdr:colOff>1552575</xdr:colOff>
      <xdr:row>255</xdr:row>
      <xdr:rowOff>1266825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256</xdr:row>
      <xdr:rowOff>38100</xdr:rowOff>
    </xdr:from>
    <xdr:to>
      <xdr:col>3</xdr:col>
      <xdr:colOff>1552575</xdr:colOff>
      <xdr:row>257</xdr:row>
      <xdr:rowOff>638175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258</xdr:row>
      <xdr:rowOff>28575</xdr:rowOff>
    </xdr:from>
    <xdr:to>
      <xdr:col>3</xdr:col>
      <xdr:colOff>1552575</xdr:colOff>
      <xdr:row>260</xdr:row>
      <xdr:rowOff>419100</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28575</xdr:rowOff>
    </xdr:from>
    <xdr:to>
      <xdr:col>3</xdr:col>
      <xdr:colOff>1552575</xdr:colOff>
      <xdr:row>261</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262</xdr:row>
      <xdr:rowOff>28575</xdr:rowOff>
    </xdr:from>
    <xdr:to>
      <xdr:col>3</xdr:col>
      <xdr:colOff>1552575</xdr:colOff>
      <xdr:row>264</xdr:row>
      <xdr:rowOff>419100</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38100</xdr:rowOff>
    </xdr:from>
    <xdr:to>
      <xdr:col>3</xdr:col>
      <xdr:colOff>1552575</xdr:colOff>
      <xdr:row>266</xdr:row>
      <xdr:rowOff>638175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28575</xdr:rowOff>
    </xdr:from>
    <xdr:to>
      <xdr:col>3</xdr:col>
      <xdr:colOff>1552575</xdr:colOff>
      <xdr:row>270</xdr:row>
      <xdr:rowOff>209550</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271</xdr:row>
      <xdr:rowOff>38100</xdr:rowOff>
    </xdr:from>
    <xdr:to>
      <xdr:col>3</xdr:col>
      <xdr:colOff>1552575</xdr:colOff>
      <xdr:row>272</xdr:row>
      <xdr:rowOff>638175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273</xdr:row>
      <xdr:rowOff>28575</xdr:rowOff>
    </xdr:from>
    <xdr:to>
      <xdr:col>3</xdr:col>
      <xdr:colOff>1552575</xdr:colOff>
      <xdr:row>276</xdr:row>
      <xdr:rowOff>209550</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28575</xdr:rowOff>
    </xdr:from>
    <xdr:to>
      <xdr:col>3</xdr:col>
      <xdr:colOff>1552575</xdr:colOff>
      <xdr:row>277</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278</xdr:row>
      <xdr:rowOff>28575</xdr:rowOff>
    </xdr:from>
    <xdr:to>
      <xdr:col>3</xdr:col>
      <xdr:colOff>1552575</xdr:colOff>
      <xdr:row>278</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279</xdr:row>
      <xdr:rowOff>28575</xdr:rowOff>
    </xdr:from>
    <xdr:to>
      <xdr:col>3</xdr:col>
      <xdr:colOff>1552575</xdr:colOff>
      <xdr:row>279</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280</xdr:row>
      <xdr:rowOff>28575</xdr:rowOff>
    </xdr:from>
    <xdr:to>
      <xdr:col>3</xdr:col>
      <xdr:colOff>1552575</xdr:colOff>
      <xdr:row>280</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28575</xdr:rowOff>
    </xdr:from>
    <xdr:to>
      <xdr:col>3</xdr:col>
      <xdr:colOff>1552575</xdr:colOff>
      <xdr:row>283</xdr:row>
      <xdr:rowOff>419100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284</xdr:row>
      <xdr:rowOff>28575</xdr:rowOff>
    </xdr:from>
    <xdr:to>
      <xdr:col>3</xdr:col>
      <xdr:colOff>1552575</xdr:colOff>
      <xdr:row>284</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38100</xdr:rowOff>
    </xdr:from>
    <xdr:to>
      <xdr:col>3</xdr:col>
      <xdr:colOff>1552575</xdr:colOff>
      <xdr:row>286</xdr:row>
      <xdr:rowOff>638175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28575</xdr:rowOff>
    </xdr:from>
    <xdr:to>
      <xdr:col>3</xdr:col>
      <xdr:colOff>1552575</xdr:colOff>
      <xdr:row>287</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288</xdr:row>
      <xdr:rowOff>38100</xdr:rowOff>
    </xdr:from>
    <xdr:to>
      <xdr:col>3</xdr:col>
      <xdr:colOff>1552575</xdr:colOff>
      <xdr:row>289</xdr:row>
      <xdr:rowOff>638175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290</xdr:row>
      <xdr:rowOff>28575</xdr:rowOff>
    </xdr:from>
    <xdr:to>
      <xdr:col>3</xdr:col>
      <xdr:colOff>1552575</xdr:colOff>
      <xdr:row>292</xdr:row>
      <xdr:rowOff>419100</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38100</xdr:rowOff>
    </xdr:from>
    <xdr:to>
      <xdr:col>3</xdr:col>
      <xdr:colOff>1552575</xdr:colOff>
      <xdr:row>294</xdr:row>
      <xdr:rowOff>638175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295</xdr:row>
      <xdr:rowOff>38100</xdr:rowOff>
    </xdr:from>
    <xdr:to>
      <xdr:col>3</xdr:col>
      <xdr:colOff>1552575</xdr:colOff>
      <xdr:row>296</xdr:row>
      <xdr:rowOff>638175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38100</xdr:rowOff>
    </xdr:from>
    <xdr:to>
      <xdr:col>3</xdr:col>
      <xdr:colOff>1552575</xdr:colOff>
      <xdr:row>298</xdr:row>
      <xdr:rowOff>638175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299</xdr:row>
      <xdr:rowOff>38100</xdr:rowOff>
    </xdr:from>
    <xdr:to>
      <xdr:col>3</xdr:col>
      <xdr:colOff>1552575</xdr:colOff>
      <xdr:row>300</xdr:row>
      <xdr:rowOff>638175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301</xdr:row>
      <xdr:rowOff>28575</xdr:rowOff>
    </xdr:from>
    <xdr:to>
      <xdr:col>3</xdr:col>
      <xdr:colOff>1552575</xdr:colOff>
      <xdr:row>301</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38100</xdr:rowOff>
    </xdr:from>
    <xdr:to>
      <xdr:col>3</xdr:col>
      <xdr:colOff>1552575</xdr:colOff>
      <xdr:row>303</xdr:row>
      <xdr:rowOff>638175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304</xdr:row>
      <xdr:rowOff>28575</xdr:rowOff>
    </xdr:from>
    <xdr:to>
      <xdr:col>3</xdr:col>
      <xdr:colOff>1552575</xdr:colOff>
      <xdr:row>307</xdr:row>
      <xdr:rowOff>209550</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308</xdr:row>
      <xdr:rowOff>38100</xdr:rowOff>
    </xdr:from>
    <xdr:to>
      <xdr:col>3</xdr:col>
      <xdr:colOff>1552575</xdr:colOff>
      <xdr:row>309</xdr:row>
      <xdr:rowOff>638175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28575</xdr:rowOff>
    </xdr:from>
    <xdr:to>
      <xdr:col>3</xdr:col>
      <xdr:colOff>1552575</xdr:colOff>
      <xdr:row>310</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311</xdr:row>
      <xdr:rowOff>38100</xdr:rowOff>
    </xdr:from>
    <xdr:to>
      <xdr:col>3</xdr:col>
      <xdr:colOff>1552575</xdr:colOff>
      <xdr:row>312</xdr:row>
      <xdr:rowOff>638175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313</xdr:row>
      <xdr:rowOff>28575</xdr:rowOff>
    </xdr:from>
    <xdr:to>
      <xdr:col>3</xdr:col>
      <xdr:colOff>1552575</xdr:colOff>
      <xdr:row>313</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314</xdr:row>
      <xdr:rowOff>28575</xdr:rowOff>
    </xdr:from>
    <xdr:to>
      <xdr:col>3</xdr:col>
      <xdr:colOff>1552575</xdr:colOff>
      <xdr:row>314</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315</xdr:row>
      <xdr:rowOff>28575</xdr:rowOff>
    </xdr:from>
    <xdr:to>
      <xdr:col>3</xdr:col>
      <xdr:colOff>1552575</xdr:colOff>
      <xdr:row>319</xdr:row>
      <xdr:rowOff>333375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320</xdr:row>
      <xdr:rowOff>28575</xdr:rowOff>
    </xdr:from>
    <xdr:to>
      <xdr:col>3</xdr:col>
      <xdr:colOff>1552575</xdr:colOff>
      <xdr:row>320</xdr:row>
      <xdr:rowOff>1266825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321</xdr:row>
      <xdr:rowOff>28575</xdr:rowOff>
    </xdr:from>
    <xdr:to>
      <xdr:col>3</xdr:col>
      <xdr:colOff>1552575</xdr:colOff>
      <xdr:row>321</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28575</xdr:rowOff>
    </xdr:from>
    <xdr:to>
      <xdr:col>3</xdr:col>
      <xdr:colOff>1552575</xdr:colOff>
      <xdr:row>326</xdr:row>
      <xdr:rowOff>333375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327</xdr:row>
      <xdr:rowOff>28575</xdr:rowOff>
    </xdr:from>
    <xdr:to>
      <xdr:col>3</xdr:col>
      <xdr:colOff>1552575</xdr:colOff>
      <xdr:row>329</xdr:row>
      <xdr:rowOff>419100</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330</xdr:row>
      <xdr:rowOff>28575</xdr:rowOff>
    </xdr:from>
    <xdr:to>
      <xdr:col>3</xdr:col>
      <xdr:colOff>1552575</xdr:colOff>
      <xdr:row>334</xdr:row>
      <xdr:rowOff>333375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335</xdr:row>
      <xdr:rowOff>28575</xdr:rowOff>
    </xdr:from>
    <xdr:to>
      <xdr:col>3</xdr:col>
      <xdr:colOff>1552575</xdr:colOff>
      <xdr:row>335</xdr:row>
      <xdr:rowOff>1266825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336</xdr:row>
      <xdr:rowOff>28575</xdr:rowOff>
    </xdr:from>
    <xdr:to>
      <xdr:col>3</xdr:col>
      <xdr:colOff>1552575</xdr:colOff>
      <xdr:row>338</xdr:row>
      <xdr:rowOff>419100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28575</xdr:rowOff>
    </xdr:from>
    <xdr:to>
      <xdr:col>3</xdr:col>
      <xdr:colOff>1552575</xdr:colOff>
      <xdr:row>341</xdr:row>
      <xdr:rowOff>419100</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342</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343</xdr:row>
      <xdr:rowOff>28575</xdr:rowOff>
    </xdr:from>
    <xdr:to>
      <xdr:col>3</xdr:col>
      <xdr:colOff>1552575</xdr:colOff>
      <xdr:row>343</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344</xdr:row>
      <xdr:rowOff>38100</xdr:rowOff>
    </xdr:from>
    <xdr:to>
      <xdr:col>3</xdr:col>
      <xdr:colOff>1552575</xdr:colOff>
      <xdr:row>345</xdr:row>
      <xdr:rowOff>638175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28575</xdr:rowOff>
    </xdr:from>
    <xdr:to>
      <xdr:col>3</xdr:col>
      <xdr:colOff>1552575</xdr:colOff>
      <xdr:row>350</xdr:row>
      <xdr:rowOff>333375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351</xdr:row>
      <xdr:rowOff>28575</xdr:rowOff>
    </xdr:from>
    <xdr:to>
      <xdr:col>3</xdr:col>
      <xdr:colOff>1552575</xdr:colOff>
      <xdr:row>351</xdr:row>
      <xdr:rowOff>1266825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352</xdr:row>
      <xdr:rowOff>38100</xdr:rowOff>
    </xdr:from>
    <xdr:to>
      <xdr:col>3</xdr:col>
      <xdr:colOff>1552575</xdr:colOff>
      <xdr:row>353</xdr:row>
      <xdr:rowOff>638175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354</xdr:row>
      <xdr:rowOff>28575</xdr:rowOff>
    </xdr:from>
    <xdr:to>
      <xdr:col>3</xdr:col>
      <xdr:colOff>1552575</xdr:colOff>
      <xdr:row>358</xdr:row>
      <xdr:rowOff>333375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359</xdr:row>
      <xdr:rowOff>38100</xdr:rowOff>
    </xdr:from>
    <xdr:to>
      <xdr:col>3</xdr:col>
      <xdr:colOff>1552575</xdr:colOff>
      <xdr:row>360</xdr:row>
      <xdr:rowOff>638175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361</xdr:row>
      <xdr:rowOff>38100</xdr:rowOff>
    </xdr:from>
    <xdr:to>
      <xdr:col>3</xdr:col>
      <xdr:colOff>1552575</xdr:colOff>
      <xdr:row>362</xdr:row>
      <xdr:rowOff>638175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363</xdr:row>
      <xdr:rowOff>38100</xdr:rowOff>
    </xdr:from>
    <xdr:to>
      <xdr:col>3</xdr:col>
      <xdr:colOff>1552575</xdr:colOff>
      <xdr:row>364</xdr:row>
      <xdr:rowOff>638175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365</xdr:row>
      <xdr:rowOff>28575</xdr:rowOff>
    </xdr:from>
    <xdr:to>
      <xdr:col>3</xdr:col>
      <xdr:colOff>1552575</xdr:colOff>
      <xdr:row>365</xdr:row>
      <xdr:rowOff>1266825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366</xdr:row>
      <xdr:rowOff>38100</xdr:rowOff>
    </xdr:from>
    <xdr:to>
      <xdr:col>3</xdr:col>
      <xdr:colOff>1552575</xdr:colOff>
      <xdr:row>367</xdr:row>
      <xdr:rowOff>638175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368</xdr:row>
      <xdr:rowOff>38100</xdr:rowOff>
    </xdr:from>
    <xdr:to>
      <xdr:col>3</xdr:col>
      <xdr:colOff>1552575</xdr:colOff>
      <xdr:row>369</xdr:row>
      <xdr:rowOff>638175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370</xdr:row>
      <xdr:rowOff>28575</xdr:rowOff>
    </xdr:from>
    <xdr:to>
      <xdr:col>3</xdr:col>
      <xdr:colOff>1552575</xdr:colOff>
      <xdr:row>372</xdr:row>
      <xdr:rowOff>419100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373</xdr:row>
      <xdr:rowOff>38100</xdr:rowOff>
    </xdr:from>
    <xdr:to>
      <xdr:col>3</xdr:col>
      <xdr:colOff>1552575</xdr:colOff>
      <xdr:row>374</xdr:row>
      <xdr:rowOff>638175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375</xdr:row>
      <xdr:rowOff>28575</xdr:rowOff>
    </xdr:from>
    <xdr:to>
      <xdr:col>3</xdr:col>
      <xdr:colOff>1552575</xdr:colOff>
      <xdr:row>379</xdr:row>
      <xdr:rowOff>333375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28575</xdr:rowOff>
    </xdr:from>
    <xdr:to>
      <xdr:col>3</xdr:col>
      <xdr:colOff>1552575</xdr:colOff>
      <xdr:row>384</xdr:row>
      <xdr:rowOff>333375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385</xdr:row>
      <xdr:rowOff>28575</xdr:rowOff>
    </xdr:from>
    <xdr:to>
      <xdr:col>3</xdr:col>
      <xdr:colOff>1552575</xdr:colOff>
      <xdr:row>388</xdr:row>
      <xdr:rowOff>209550</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28575</xdr:rowOff>
    </xdr:from>
    <xdr:to>
      <xdr:col>3</xdr:col>
      <xdr:colOff>1552575</xdr:colOff>
      <xdr:row>389</xdr:row>
      <xdr:rowOff>1266825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390</xdr:row>
      <xdr:rowOff>38100</xdr:rowOff>
    </xdr:from>
    <xdr:to>
      <xdr:col>3</xdr:col>
      <xdr:colOff>1552575</xdr:colOff>
      <xdr:row>391</xdr:row>
      <xdr:rowOff>638175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392</xdr:row>
      <xdr:rowOff>28575</xdr:rowOff>
    </xdr:from>
    <xdr:to>
      <xdr:col>3</xdr:col>
      <xdr:colOff>1552575</xdr:colOff>
      <xdr:row>400</xdr:row>
      <xdr:rowOff>133350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403</xdr:row>
      <xdr:rowOff>28575</xdr:rowOff>
    </xdr:from>
    <xdr:to>
      <xdr:col>3</xdr:col>
      <xdr:colOff>1552575</xdr:colOff>
      <xdr:row>408</xdr:row>
      <xdr:rowOff>209550</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409</xdr:row>
      <xdr:rowOff>28575</xdr:rowOff>
    </xdr:from>
    <xdr:to>
      <xdr:col>3</xdr:col>
      <xdr:colOff>1552575</xdr:colOff>
      <xdr:row>409</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410</xdr:row>
      <xdr:rowOff>28575</xdr:rowOff>
    </xdr:from>
    <xdr:to>
      <xdr:col>3</xdr:col>
      <xdr:colOff>1552575</xdr:colOff>
      <xdr:row>410</xdr:row>
      <xdr:rowOff>1266825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411</xdr:row>
      <xdr:rowOff>28575</xdr:rowOff>
    </xdr:from>
    <xdr:to>
      <xdr:col>3</xdr:col>
      <xdr:colOff>1552575</xdr:colOff>
      <xdr:row>411</xdr:row>
      <xdr:rowOff>1266825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412</xdr:row>
      <xdr:rowOff>28575</xdr:rowOff>
    </xdr:from>
    <xdr:to>
      <xdr:col>3</xdr:col>
      <xdr:colOff>1552575</xdr:colOff>
      <xdr:row>414</xdr:row>
      <xdr:rowOff>419100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415</xdr:row>
      <xdr:rowOff>38100</xdr:rowOff>
    </xdr:from>
    <xdr:to>
      <xdr:col>3</xdr:col>
      <xdr:colOff>1552575</xdr:colOff>
      <xdr:row>416</xdr:row>
      <xdr:rowOff>638175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417</xdr:row>
      <xdr:rowOff>28575</xdr:rowOff>
    </xdr:from>
    <xdr:to>
      <xdr:col>3</xdr:col>
      <xdr:colOff>1552575</xdr:colOff>
      <xdr:row>421</xdr:row>
      <xdr:rowOff>333375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28575</xdr:rowOff>
    </xdr:from>
    <xdr:to>
      <xdr:col>3</xdr:col>
      <xdr:colOff>1552575</xdr:colOff>
      <xdr:row>425</xdr:row>
      <xdr:rowOff>209550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28575</xdr:rowOff>
    </xdr:from>
    <xdr:to>
      <xdr:col>3</xdr:col>
      <xdr:colOff>1552575</xdr:colOff>
      <xdr:row>429</xdr:row>
      <xdr:rowOff>209550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430</xdr:row>
      <xdr:rowOff>28575</xdr:rowOff>
    </xdr:from>
    <xdr:to>
      <xdr:col>3</xdr:col>
      <xdr:colOff>1552575</xdr:colOff>
      <xdr:row>434</xdr:row>
      <xdr:rowOff>333375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435</xdr:row>
      <xdr:rowOff>28575</xdr:rowOff>
    </xdr:from>
    <xdr:to>
      <xdr:col>3</xdr:col>
      <xdr:colOff>1552575</xdr:colOff>
      <xdr:row>437</xdr:row>
      <xdr:rowOff>419100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438</xdr:row>
      <xdr:rowOff>28575</xdr:rowOff>
    </xdr:from>
    <xdr:to>
      <xdr:col>3</xdr:col>
      <xdr:colOff>1552575</xdr:colOff>
      <xdr:row>440</xdr:row>
      <xdr:rowOff>419100</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441</xdr:row>
      <xdr:rowOff>28575</xdr:rowOff>
    </xdr:from>
    <xdr:to>
      <xdr:col>3</xdr:col>
      <xdr:colOff>1552575</xdr:colOff>
      <xdr:row>445</xdr:row>
      <xdr:rowOff>333375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446</xdr:row>
      <xdr:rowOff>38100</xdr:rowOff>
    </xdr:from>
    <xdr:to>
      <xdr:col>3</xdr:col>
      <xdr:colOff>1552575</xdr:colOff>
      <xdr:row>447</xdr:row>
      <xdr:rowOff>638175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448</xdr:row>
      <xdr:rowOff>28575</xdr:rowOff>
    </xdr:from>
    <xdr:to>
      <xdr:col>3</xdr:col>
      <xdr:colOff>1552575</xdr:colOff>
      <xdr:row>450</xdr:row>
      <xdr:rowOff>419100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451</xdr:row>
      <xdr:rowOff>28575</xdr:rowOff>
    </xdr:from>
    <xdr:to>
      <xdr:col>3</xdr:col>
      <xdr:colOff>1552575</xdr:colOff>
      <xdr:row>453</xdr:row>
      <xdr:rowOff>419100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454</xdr:row>
      <xdr:rowOff>28575</xdr:rowOff>
    </xdr:from>
    <xdr:to>
      <xdr:col>3</xdr:col>
      <xdr:colOff>1552575</xdr:colOff>
      <xdr:row>454</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455</xdr:row>
      <xdr:rowOff>28575</xdr:rowOff>
    </xdr:from>
    <xdr:to>
      <xdr:col>3</xdr:col>
      <xdr:colOff>1552575</xdr:colOff>
      <xdr:row>455</xdr:row>
      <xdr:rowOff>1266825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456</xdr:row>
      <xdr:rowOff>28575</xdr:rowOff>
    </xdr:from>
    <xdr:to>
      <xdr:col>3</xdr:col>
      <xdr:colOff>1552575</xdr:colOff>
      <xdr:row>456</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457</xdr:row>
      <xdr:rowOff>28575</xdr:rowOff>
    </xdr:from>
    <xdr:to>
      <xdr:col>3</xdr:col>
      <xdr:colOff>1552575</xdr:colOff>
      <xdr:row>460</xdr:row>
      <xdr:rowOff>209550</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461</xdr:row>
      <xdr:rowOff>28575</xdr:rowOff>
    </xdr:from>
    <xdr:to>
      <xdr:col>3</xdr:col>
      <xdr:colOff>1552575</xdr:colOff>
      <xdr:row>463</xdr:row>
      <xdr:rowOff>419100</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464</xdr:row>
      <xdr:rowOff>28575</xdr:rowOff>
    </xdr:from>
    <xdr:to>
      <xdr:col>3</xdr:col>
      <xdr:colOff>1552575</xdr:colOff>
      <xdr:row>466</xdr:row>
      <xdr:rowOff>419100</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467</xdr:row>
      <xdr:rowOff>28575</xdr:rowOff>
    </xdr:from>
    <xdr:to>
      <xdr:col>3</xdr:col>
      <xdr:colOff>1552575</xdr:colOff>
      <xdr:row>469</xdr:row>
      <xdr:rowOff>419100</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470</xdr:row>
      <xdr:rowOff>28575</xdr:rowOff>
    </xdr:from>
    <xdr:to>
      <xdr:col>3</xdr:col>
      <xdr:colOff>1552575</xdr:colOff>
      <xdr:row>470</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471</xdr:row>
      <xdr:rowOff>28575</xdr:rowOff>
    </xdr:from>
    <xdr:to>
      <xdr:col>3</xdr:col>
      <xdr:colOff>1552575</xdr:colOff>
      <xdr:row>475</xdr:row>
      <xdr:rowOff>333375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476</xdr:row>
      <xdr:rowOff>28575</xdr:rowOff>
    </xdr:from>
    <xdr:to>
      <xdr:col>3</xdr:col>
      <xdr:colOff>1552575</xdr:colOff>
      <xdr:row>476</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477</xdr:row>
      <xdr:rowOff>28575</xdr:rowOff>
    </xdr:from>
    <xdr:to>
      <xdr:col>3</xdr:col>
      <xdr:colOff>1552575</xdr:colOff>
      <xdr:row>477</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478</xdr:row>
      <xdr:rowOff>28575</xdr:rowOff>
    </xdr:from>
    <xdr:to>
      <xdr:col>3</xdr:col>
      <xdr:colOff>1552575</xdr:colOff>
      <xdr:row>478</xdr:row>
      <xdr:rowOff>1266825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479</xdr:row>
      <xdr:rowOff>28575</xdr:rowOff>
    </xdr:from>
    <xdr:to>
      <xdr:col>3</xdr:col>
      <xdr:colOff>1552575</xdr:colOff>
      <xdr:row>479</xdr:row>
      <xdr:rowOff>1266825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480</xdr:row>
      <xdr:rowOff>28575</xdr:rowOff>
    </xdr:from>
    <xdr:to>
      <xdr:col>3</xdr:col>
      <xdr:colOff>1552575</xdr:colOff>
      <xdr:row>480</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481</xdr:row>
      <xdr:rowOff>38100</xdr:rowOff>
    </xdr:from>
    <xdr:to>
      <xdr:col>3</xdr:col>
      <xdr:colOff>1552575</xdr:colOff>
      <xdr:row>482</xdr:row>
      <xdr:rowOff>638175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483</xdr:row>
      <xdr:rowOff>28575</xdr:rowOff>
    </xdr:from>
    <xdr:to>
      <xdr:col>3</xdr:col>
      <xdr:colOff>1552575</xdr:colOff>
      <xdr:row>485</xdr:row>
      <xdr:rowOff>419100</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486</xdr:row>
      <xdr:rowOff>1266825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487</xdr:row>
      <xdr:rowOff>28575</xdr:rowOff>
    </xdr:from>
    <xdr:to>
      <xdr:col>3</xdr:col>
      <xdr:colOff>1552575</xdr:colOff>
      <xdr:row>491</xdr:row>
      <xdr:rowOff>333375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492</xdr:row>
      <xdr:rowOff>28575</xdr:rowOff>
    </xdr:from>
    <xdr:to>
      <xdr:col>3</xdr:col>
      <xdr:colOff>1552575</xdr:colOff>
      <xdr:row>495</xdr:row>
      <xdr:rowOff>209550</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496</xdr:row>
      <xdr:rowOff>28575</xdr:rowOff>
    </xdr:from>
    <xdr:to>
      <xdr:col>3</xdr:col>
      <xdr:colOff>1552575</xdr:colOff>
      <xdr:row>496</xdr:row>
      <xdr:rowOff>1266825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497</xdr:row>
      <xdr:rowOff>28575</xdr:rowOff>
    </xdr:from>
    <xdr:to>
      <xdr:col>3</xdr:col>
      <xdr:colOff>1552575</xdr:colOff>
      <xdr:row>502</xdr:row>
      <xdr:rowOff>209550</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503</xdr:row>
      <xdr:rowOff>28575</xdr:rowOff>
    </xdr:from>
    <xdr:to>
      <xdr:col>3</xdr:col>
      <xdr:colOff>1552575</xdr:colOff>
      <xdr:row>505</xdr:row>
      <xdr:rowOff>419100</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506</xdr:row>
      <xdr:rowOff>38100</xdr:rowOff>
    </xdr:from>
    <xdr:to>
      <xdr:col>3</xdr:col>
      <xdr:colOff>1552575</xdr:colOff>
      <xdr:row>507</xdr:row>
      <xdr:rowOff>638175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508</xdr:row>
      <xdr:rowOff>28575</xdr:rowOff>
    </xdr:from>
    <xdr:to>
      <xdr:col>3</xdr:col>
      <xdr:colOff>1552575</xdr:colOff>
      <xdr:row>511</xdr:row>
      <xdr:rowOff>209550</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512</xdr:row>
      <xdr:rowOff>38100</xdr:rowOff>
    </xdr:from>
    <xdr:to>
      <xdr:col>3</xdr:col>
      <xdr:colOff>1552575</xdr:colOff>
      <xdr:row>513</xdr:row>
      <xdr:rowOff>638175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514</xdr:row>
      <xdr:rowOff>28575</xdr:rowOff>
    </xdr:from>
    <xdr:to>
      <xdr:col>3</xdr:col>
      <xdr:colOff>1552575</xdr:colOff>
      <xdr:row>518</xdr:row>
      <xdr:rowOff>333375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519</xdr:row>
      <xdr:rowOff>28575</xdr:rowOff>
    </xdr:from>
    <xdr:to>
      <xdr:col>3</xdr:col>
      <xdr:colOff>1552575</xdr:colOff>
      <xdr:row>522</xdr:row>
      <xdr:rowOff>209550</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523</xdr:row>
      <xdr:rowOff>28575</xdr:rowOff>
    </xdr:from>
    <xdr:to>
      <xdr:col>3</xdr:col>
      <xdr:colOff>1552575</xdr:colOff>
      <xdr:row>527</xdr:row>
      <xdr:rowOff>333375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28575</xdr:rowOff>
    </xdr:from>
    <xdr:to>
      <xdr:col>3</xdr:col>
      <xdr:colOff>1552575</xdr:colOff>
      <xdr:row>528</xdr:row>
      <xdr:rowOff>1266825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28575</xdr:rowOff>
    </xdr:from>
    <xdr:to>
      <xdr:col>3</xdr:col>
      <xdr:colOff>1552575</xdr:colOff>
      <xdr:row>529</xdr:row>
      <xdr:rowOff>1266825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530</xdr:row>
      <xdr:rowOff>28575</xdr:rowOff>
    </xdr:from>
    <xdr:to>
      <xdr:col>3</xdr:col>
      <xdr:colOff>1552575</xdr:colOff>
      <xdr:row>530</xdr:row>
      <xdr:rowOff>1266825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531</xdr:row>
      <xdr:rowOff>28575</xdr:rowOff>
    </xdr:from>
    <xdr:to>
      <xdr:col>3</xdr:col>
      <xdr:colOff>1552575</xdr:colOff>
      <xdr:row>531</xdr:row>
      <xdr:rowOff>1266825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28575</xdr:rowOff>
    </xdr:from>
    <xdr:to>
      <xdr:col>3</xdr:col>
      <xdr:colOff>1552575</xdr:colOff>
      <xdr:row>532</xdr:row>
      <xdr:rowOff>1266825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533</xdr:row>
      <xdr:rowOff>1266825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28575</xdr:rowOff>
    </xdr:from>
    <xdr:to>
      <xdr:col>3</xdr:col>
      <xdr:colOff>1552575</xdr:colOff>
      <xdr:row>534</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535</xdr:row>
      <xdr:rowOff>28575</xdr:rowOff>
    </xdr:from>
    <xdr:to>
      <xdr:col>3</xdr:col>
      <xdr:colOff>1552575</xdr:colOff>
      <xdr:row>535</xdr:row>
      <xdr:rowOff>1266825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536</xdr:row>
      <xdr:rowOff>28575</xdr:rowOff>
    </xdr:from>
    <xdr:to>
      <xdr:col>3</xdr:col>
      <xdr:colOff>1552575</xdr:colOff>
      <xdr:row>536</xdr:row>
      <xdr:rowOff>1266825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537</xdr:row>
      <xdr:rowOff>38100</xdr:rowOff>
    </xdr:from>
    <xdr:to>
      <xdr:col>3</xdr:col>
      <xdr:colOff>1552575</xdr:colOff>
      <xdr:row>538</xdr:row>
      <xdr:rowOff>638175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539</xdr:row>
      <xdr:rowOff>28575</xdr:rowOff>
    </xdr:from>
    <xdr:to>
      <xdr:col>3</xdr:col>
      <xdr:colOff>1552575</xdr:colOff>
      <xdr:row>539</xdr:row>
      <xdr:rowOff>1266825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540</xdr:row>
      <xdr:rowOff>28575</xdr:rowOff>
    </xdr:from>
    <xdr:to>
      <xdr:col>3</xdr:col>
      <xdr:colOff>1552575</xdr:colOff>
      <xdr:row>540</xdr:row>
      <xdr:rowOff>1266825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541</xdr:row>
      <xdr:rowOff>28575</xdr:rowOff>
    </xdr:from>
    <xdr:to>
      <xdr:col>3</xdr:col>
      <xdr:colOff>1552575</xdr:colOff>
      <xdr:row>541</xdr:row>
      <xdr:rowOff>1266825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542</xdr:row>
      <xdr:rowOff>38100</xdr:rowOff>
    </xdr:from>
    <xdr:to>
      <xdr:col>3</xdr:col>
      <xdr:colOff>1552575</xdr:colOff>
      <xdr:row>543</xdr:row>
      <xdr:rowOff>638175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544</xdr:row>
      <xdr:rowOff>28575</xdr:rowOff>
    </xdr:from>
    <xdr:to>
      <xdr:col>3</xdr:col>
      <xdr:colOff>1552575</xdr:colOff>
      <xdr:row>544</xdr:row>
      <xdr:rowOff>1266825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545</xdr:row>
      <xdr:rowOff>28575</xdr:rowOff>
    </xdr:from>
    <xdr:to>
      <xdr:col>3</xdr:col>
      <xdr:colOff>1552575</xdr:colOff>
      <xdr:row>547</xdr:row>
      <xdr:rowOff>419100</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28575</xdr:rowOff>
    </xdr:from>
    <xdr:to>
      <xdr:col>3</xdr:col>
      <xdr:colOff>1552575</xdr:colOff>
      <xdr:row>551</xdr:row>
      <xdr:rowOff>209550</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552</xdr:row>
      <xdr:rowOff>28575</xdr:rowOff>
    </xdr:from>
    <xdr:to>
      <xdr:col>3</xdr:col>
      <xdr:colOff>1552575</xdr:colOff>
      <xdr:row>554</xdr:row>
      <xdr:rowOff>419100</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555</xdr:row>
      <xdr:rowOff>28575</xdr:rowOff>
    </xdr:from>
    <xdr:to>
      <xdr:col>3</xdr:col>
      <xdr:colOff>1552575</xdr:colOff>
      <xdr:row>558</xdr:row>
      <xdr:rowOff>209550</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559</xdr:row>
      <xdr:rowOff>28575</xdr:rowOff>
    </xdr:from>
    <xdr:to>
      <xdr:col>3</xdr:col>
      <xdr:colOff>1552575</xdr:colOff>
      <xdr:row>559</xdr:row>
      <xdr:rowOff>1266825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560</xdr:row>
      <xdr:rowOff>28575</xdr:rowOff>
    </xdr:from>
    <xdr:to>
      <xdr:col>3</xdr:col>
      <xdr:colOff>1552575</xdr:colOff>
      <xdr:row>560</xdr:row>
      <xdr:rowOff>1266825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561</xdr:row>
      <xdr:rowOff>28575</xdr:rowOff>
    </xdr:from>
    <xdr:to>
      <xdr:col>3</xdr:col>
      <xdr:colOff>1552575</xdr:colOff>
      <xdr:row>561</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565</xdr:row>
      <xdr:rowOff>209550</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566</xdr:row>
      <xdr:rowOff>38100</xdr:rowOff>
    </xdr:from>
    <xdr:to>
      <xdr:col>3</xdr:col>
      <xdr:colOff>1552575</xdr:colOff>
      <xdr:row>567</xdr:row>
      <xdr:rowOff>638175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568</xdr:row>
      <xdr:rowOff>28575</xdr:rowOff>
    </xdr:from>
    <xdr:to>
      <xdr:col>3</xdr:col>
      <xdr:colOff>1552575</xdr:colOff>
      <xdr:row>571</xdr:row>
      <xdr:rowOff>209550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572</xdr:row>
      <xdr:rowOff>28575</xdr:rowOff>
    </xdr:from>
    <xdr:to>
      <xdr:col>3</xdr:col>
      <xdr:colOff>1552575</xdr:colOff>
      <xdr:row>572</xdr:row>
      <xdr:rowOff>1266825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573</xdr:row>
      <xdr:rowOff>28575</xdr:rowOff>
    </xdr:from>
    <xdr:to>
      <xdr:col>3</xdr:col>
      <xdr:colOff>1552575</xdr:colOff>
      <xdr:row>576</xdr:row>
      <xdr:rowOff>209550</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577</xdr:row>
      <xdr:rowOff>28575</xdr:rowOff>
    </xdr:from>
    <xdr:to>
      <xdr:col>3</xdr:col>
      <xdr:colOff>1552575</xdr:colOff>
      <xdr:row>581</xdr:row>
      <xdr:rowOff>333375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582</xdr:row>
      <xdr:rowOff>28575</xdr:rowOff>
    </xdr:from>
    <xdr:to>
      <xdr:col>3</xdr:col>
      <xdr:colOff>1552575</xdr:colOff>
      <xdr:row>588</xdr:row>
      <xdr:rowOff>171450</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589</xdr:row>
      <xdr:rowOff>28575</xdr:rowOff>
    </xdr:from>
    <xdr:to>
      <xdr:col>3</xdr:col>
      <xdr:colOff>1552575</xdr:colOff>
      <xdr:row>594</xdr:row>
      <xdr:rowOff>209550</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595</xdr:row>
      <xdr:rowOff>28575</xdr:rowOff>
    </xdr:from>
    <xdr:to>
      <xdr:col>3</xdr:col>
      <xdr:colOff>1552575</xdr:colOff>
      <xdr:row>599</xdr:row>
      <xdr:rowOff>333375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600</xdr:row>
      <xdr:rowOff>28575</xdr:rowOff>
    </xdr:from>
    <xdr:to>
      <xdr:col>3</xdr:col>
      <xdr:colOff>1552575</xdr:colOff>
      <xdr:row>600</xdr:row>
      <xdr:rowOff>1266825</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28575</xdr:rowOff>
    </xdr:from>
    <xdr:to>
      <xdr:col>3</xdr:col>
      <xdr:colOff>1552575</xdr:colOff>
      <xdr:row>601</xdr:row>
      <xdr:rowOff>1266825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28575</xdr:rowOff>
    </xdr:from>
    <xdr:to>
      <xdr:col>3</xdr:col>
      <xdr:colOff>1552575</xdr:colOff>
      <xdr:row>602</xdr:row>
      <xdr:rowOff>1266825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603</xdr:row>
      <xdr:rowOff>28575</xdr:rowOff>
    </xdr:from>
    <xdr:to>
      <xdr:col>3</xdr:col>
      <xdr:colOff>1552575</xdr:colOff>
      <xdr:row>605</xdr:row>
      <xdr:rowOff>419100</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606</xdr:row>
      <xdr:rowOff>28575</xdr:rowOff>
    </xdr:from>
    <xdr:to>
      <xdr:col>3</xdr:col>
      <xdr:colOff>1552575</xdr:colOff>
      <xdr:row>610</xdr:row>
      <xdr:rowOff>333375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611</xdr:row>
      <xdr:rowOff>38100</xdr:rowOff>
    </xdr:from>
    <xdr:to>
      <xdr:col>3</xdr:col>
      <xdr:colOff>1552575</xdr:colOff>
      <xdr:row>612</xdr:row>
      <xdr:rowOff>638175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28575</xdr:rowOff>
    </xdr:from>
    <xdr:to>
      <xdr:col>3</xdr:col>
      <xdr:colOff>1552575</xdr:colOff>
      <xdr:row>615</xdr:row>
      <xdr:rowOff>419100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616</xdr:row>
      <xdr:rowOff>28575</xdr:rowOff>
    </xdr:from>
    <xdr:to>
      <xdr:col>3</xdr:col>
      <xdr:colOff>1552575</xdr:colOff>
      <xdr:row>620</xdr:row>
      <xdr:rowOff>333375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28575</xdr:rowOff>
    </xdr:from>
    <xdr:to>
      <xdr:col>3</xdr:col>
      <xdr:colOff>1552575</xdr:colOff>
      <xdr:row>623</xdr:row>
      <xdr:rowOff>419100</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624</xdr:row>
      <xdr:rowOff>28575</xdr:rowOff>
    </xdr:from>
    <xdr:to>
      <xdr:col>3</xdr:col>
      <xdr:colOff>1552575</xdr:colOff>
      <xdr:row>630</xdr:row>
      <xdr:rowOff>171450</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631</xdr:row>
      <xdr:rowOff>38100</xdr:rowOff>
    </xdr:from>
    <xdr:to>
      <xdr:col>3</xdr:col>
      <xdr:colOff>1552575</xdr:colOff>
      <xdr:row>632</xdr:row>
      <xdr:rowOff>638175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633</xdr:row>
      <xdr:rowOff>28575</xdr:rowOff>
    </xdr:from>
    <xdr:to>
      <xdr:col>3</xdr:col>
      <xdr:colOff>1552575</xdr:colOff>
      <xdr:row>636</xdr:row>
      <xdr:rowOff>209550</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38100</xdr:rowOff>
    </xdr:from>
    <xdr:to>
      <xdr:col>3</xdr:col>
      <xdr:colOff>1552575</xdr:colOff>
      <xdr:row>638</xdr:row>
      <xdr:rowOff>638175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639</xdr:row>
      <xdr:rowOff>28575</xdr:rowOff>
    </xdr:from>
    <xdr:to>
      <xdr:col>3</xdr:col>
      <xdr:colOff>1552575</xdr:colOff>
      <xdr:row>646</xdr:row>
      <xdr:rowOff>152400</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647</xdr:row>
      <xdr:rowOff>38100</xdr:rowOff>
    </xdr:from>
    <xdr:to>
      <xdr:col>3</xdr:col>
      <xdr:colOff>1552575</xdr:colOff>
      <xdr:row>648</xdr:row>
      <xdr:rowOff>638175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649</xdr:row>
      <xdr:rowOff>28575</xdr:rowOff>
    </xdr:from>
    <xdr:to>
      <xdr:col>3</xdr:col>
      <xdr:colOff>1552575</xdr:colOff>
      <xdr:row>651</xdr:row>
      <xdr:rowOff>419100</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652</xdr:row>
      <xdr:rowOff>28575</xdr:rowOff>
    </xdr:from>
    <xdr:to>
      <xdr:col>3</xdr:col>
      <xdr:colOff>1552575</xdr:colOff>
      <xdr:row>654</xdr:row>
      <xdr:rowOff>419100</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28575</xdr:rowOff>
    </xdr:from>
    <xdr:to>
      <xdr:col>3</xdr:col>
      <xdr:colOff>1552575</xdr:colOff>
      <xdr:row>657</xdr:row>
      <xdr:rowOff>419100</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658</xdr:row>
      <xdr:rowOff>28575</xdr:rowOff>
    </xdr:from>
    <xdr:to>
      <xdr:col>3</xdr:col>
      <xdr:colOff>1552575</xdr:colOff>
      <xdr:row>663</xdr:row>
      <xdr:rowOff>209550</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664</xdr:row>
      <xdr:rowOff>28575</xdr:rowOff>
    </xdr:from>
    <xdr:to>
      <xdr:col>3</xdr:col>
      <xdr:colOff>1552575</xdr:colOff>
      <xdr:row>667</xdr:row>
      <xdr:rowOff>209550</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668</xdr:row>
      <xdr:rowOff>28575</xdr:rowOff>
    </xdr:from>
    <xdr:to>
      <xdr:col>3</xdr:col>
      <xdr:colOff>1552575</xdr:colOff>
      <xdr:row>673</xdr:row>
      <xdr:rowOff>209550</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674</xdr:row>
      <xdr:rowOff>28575</xdr:rowOff>
    </xdr:from>
    <xdr:to>
      <xdr:col>3</xdr:col>
      <xdr:colOff>1552575</xdr:colOff>
      <xdr:row>677</xdr:row>
      <xdr:rowOff>209550</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678</xdr:row>
      <xdr:rowOff>28575</xdr:rowOff>
    </xdr:from>
    <xdr:to>
      <xdr:col>3</xdr:col>
      <xdr:colOff>1552575</xdr:colOff>
      <xdr:row>682</xdr:row>
      <xdr:rowOff>333375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683</xdr:row>
      <xdr:rowOff>38100</xdr:rowOff>
    </xdr:from>
    <xdr:to>
      <xdr:col>3</xdr:col>
      <xdr:colOff>1552575</xdr:colOff>
      <xdr:row>684</xdr:row>
      <xdr:rowOff>638175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685</xdr:row>
      <xdr:rowOff>28575</xdr:rowOff>
    </xdr:from>
    <xdr:to>
      <xdr:col>3</xdr:col>
      <xdr:colOff>1552575</xdr:colOff>
      <xdr:row>685</xdr:row>
      <xdr:rowOff>1266825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686</xdr:row>
      <xdr:rowOff>28575</xdr:rowOff>
    </xdr:from>
    <xdr:to>
      <xdr:col>3</xdr:col>
      <xdr:colOff>1552575</xdr:colOff>
      <xdr:row>686</xdr:row>
      <xdr:rowOff>1266825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38100</xdr:rowOff>
    </xdr:from>
    <xdr:to>
      <xdr:col>3</xdr:col>
      <xdr:colOff>1552575</xdr:colOff>
      <xdr:row>688</xdr:row>
      <xdr:rowOff>638175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689</xdr:row>
      <xdr:rowOff>28575</xdr:rowOff>
    </xdr:from>
    <xdr:to>
      <xdr:col>3</xdr:col>
      <xdr:colOff>1552575</xdr:colOff>
      <xdr:row>692</xdr:row>
      <xdr:rowOff>209550</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693</xdr:row>
      <xdr:rowOff>28575</xdr:rowOff>
    </xdr:from>
    <xdr:to>
      <xdr:col>3</xdr:col>
      <xdr:colOff>1552575</xdr:colOff>
      <xdr:row>696</xdr:row>
      <xdr:rowOff>209550</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28575</xdr:rowOff>
    </xdr:from>
    <xdr:to>
      <xdr:col>3</xdr:col>
      <xdr:colOff>1552575</xdr:colOff>
      <xdr:row>703</xdr:row>
      <xdr:rowOff>171450</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704</xdr:row>
      <xdr:rowOff>28575</xdr:rowOff>
    </xdr:from>
    <xdr:to>
      <xdr:col>3</xdr:col>
      <xdr:colOff>1552575</xdr:colOff>
      <xdr:row>706</xdr:row>
      <xdr:rowOff>419100</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707</xdr:row>
      <xdr:rowOff>28575</xdr:rowOff>
    </xdr:from>
    <xdr:to>
      <xdr:col>3</xdr:col>
      <xdr:colOff>1552575</xdr:colOff>
      <xdr:row>707</xdr:row>
      <xdr:rowOff>1266825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708</xdr:row>
      <xdr:rowOff>28575</xdr:rowOff>
    </xdr:from>
    <xdr:to>
      <xdr:col>3</xdr:col>
      <xdr:colOff>1552575</xdr:colOff>
      <xdr:row>708</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709</xdr:row>
      <xdr:rowOff>28575</xdr:rowOff>
    </xdr:from>
    <xdr:to>
      <xdr:col>3</xdr:col>
      <xdr:colOff>1552575</xdr:colOff>
      <xdr:row>711</xdr:row>
      <xdr:rowOff>419100</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712</xdr:row>
      <xdr:rowOff>28575</xdr:rowOff>
    </xdr:from>
    <xdr:to>
      <xdr:col>3</xdr:col>
      <xdr:colOff>1552575</xdr:colOff>
      <xdr:row>715</xdr:row>
      <xdr:rowOff>209550</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716</xdr:row>
      <xdr:rowOff>28575</xdr:rowOff>
    </xdr:from>
    <xdr:to>
      <xdr:col>3</xdr:col>
      <xdr:colOff>1552575</xdr:colOff>
      <xdr:row>719</xdr:row>
      <xdr:rowOff>209550</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720</xdr:row>
      <xdr:rowOff>28575</xdr:rowOff>
    </xdr:from>
    <xdr:to>
      <xdr:col>3</xdr:col>
      <xdr:colOff>1552575</xdr:colOff>
      <xdr:row>722</xdr:row>
      <xdr:rowOff>419100</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723</xdr:row>
      <xdr:rowOff>38100</xdr:rowOff>
    </xdr:from>
    <xdr:to>
      <xdr:col>3</xdr:col>
      <xdr:colOff>1552575</xdr:colOff>
      <xdr:row>724</xdr:row>
      <xdr:rowOff>638175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725</xdr:row>
      <xdr:rowOff>38100</xdr:rowOff>
    </xdr:from>
    <xdr:to>
      <xdr:col>3</xdr:col>
      <xdr:colOff>1552575</xdr:colOff>
      <xdr:row>726</xdr:row>
      <xdr:rowOff>638175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727</xdr:row>
      <xdr:rowOff>28575</xdr:rowOff>
    </xdr:from>
    <xdr:to>
      <xdr:col>3</xdr:col>
      <xdr:colOff>1552575</xdr:colOff>
      <xdr:row>730</xdr:row>
      <xdr:rowOff>209550</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28575</xdr:rowOff>
    </xdr:from>
    <xdr:to>
      <xdr:col>3</xdr:col>
      <xdr:colOff>1552575</xdr:colOff>
      <xdr:row>735</xdr:row>
      <xdr:rowOff>333375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736</xdr:row>
      <xdr:rowOff>28575</xdr:rowOff>
    </xdr:from>
    <xdr:to>
      <xdr:col>3</xdr:col>
      <xdr:colOff>1552575</xdr:colOff>
      <xdr:row>738</xdr:row>
      <xdr:rowOff>419100</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739</xdr:row>
      <xdr:rowOff>28575</xdr:rowOff>
    </xdr:from>
    <xdr:to>
      <xdr:col>3</xdr:col>
      <xdr:colOff>1552575</xdr:colOff>
      <xdr:row>739</xdr:row>
      <xdr:rowOff>1266825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740</xdr:row>
      <xdr:rowOff>38100</xdr:rowOff>
    </xdr:from>
    <xdr:to>
      <xdr:col>3</xdr:col>
      <xdr:colOff>1552575</xdr:colOff>
      <xdr:row>741</xdr:row>
      <xdr:rowOff>638175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742</xdr:row>
      <xdr:rowOff>28575</xdr:rowOff>
    </xdr:from>
    <xdr:to>
      <xdr:col>3</xdr:col>
      <xdr:colOff>1552575</xdr:colOff>
      <xdr:row>745</xdr:row>
      <xdr:rowOff>209550</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746</xdr:row>
      <xdr:rowOff>28575</xdr:rowOff>
    </xdr:from>
    <xdr:to>
      <xdr:col>3</xdr:col>
      <xdr:colOff>1552575</xdr:colOff>
      <xdr:row>751</xdr:row>
      <xdr:rowOff>209550</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752</xdr:row>
      <xdr:rowOff>28575</xdr:rowOff>
    </xdr:from>
    <xdr:to>
      <xdr:col>3</xdr:col>
      <xdr:colOff>1552575</xdr:colOff>
      <xdr:row>757</xdr:row>
      <xdr:rowOff>209550</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758</xdr:row>
      <xdr:rowOff>28575</xdr:rowOff>
    </xdr:from>
    <xdr:to>
      <xdr:col>3</xdr:col>
      <xdr:colOff>1552575</xdr:colOff>
      <xdr:row>758</xdr:row>
      <xdr:rowOff>1266825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759</xdr:row>
      <xdr:rowOff>28575</xdr:rowOff>
    </xdr:from>
    <xdr:to>
      <xdr:col>3</xdr:col>
      <xdr:colOff>1552575</xdr:colOff>
      <xdr:row>759</xdr:row>
      <xdr:rowOff>1266825</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760</xdr:row>
      <xdr:rowOff>28575</xdr:rowOff>
    </xdr:from>
    <xdr:to>
      <xdr:col>3</xdr:col>
      <xdr:colOff>1552575</xdr:colOff>
      <xdr:row>765</xdr:row>
      <xdr:rowOff>209550</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766</xdr:row>
      <xdr:rowOff>38100</xdr:rowOff>
    </xdr:from>
    <xdr:to>
      <xdr:col>3</xdr:col>
      <xdr:colOff>1552575</xdr:colOff>
      <xdr:row>767</xdr:row>
      <xdr:rowOff>638175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768</xdr:row>
      <xdr:rowOff>38100</xdr:rowOff>
    </xdr:from>
    <xdr:to>
      <xdr:col>3</xdr:col>
      <xdr:colOff>1552575</xdr:colOff>
      <xdr:row>769</xdr:row>
      <xdr:rowOff>638175</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770</xdr:row>
      <xdr:rowOff>38100</xdr:rowOff>
    </xdr:from>
    <xdr:to>
      <xdr:col>3</xdr:col>
      <xdr:colOff>1552575</xdr:colOff>
      <xdr:row>771</xdr:row>
      <xdr:rowOff>638175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772</xdr:row>
      <xdr:rowOff>38100</xdr:rowOff>
    </xdr:from>
    <xdr:to>
      <xdr:col>3</xdr:col>
      <xdr:colOff>1552575</xdr:colOff>
      <xdr:row>773</xdr:row>
      <xdr:rowOff>638175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774</xdr:row>
      <xdr:rowOff>28575</xdr:rowOff>
    </xdr:from>
    <xdr:to>
      <xdr:col>3</xdr:col>
      <xdr:colOff>1552575</xdr:colOff>
      <xdr:row>774</xdr:row>
      <xdr:rowOff>1266825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775</xdr:row>
      <xdr:rowOff>38100</xdr:rowOff>
    </xdr:from>
    <xdr:to>
      <xdr:col>3</xdr:col>
      <xdr:colOff>1552575</xdr:colOff>
      <xdr:row>776</xdr:row>
      <xdr:rowOff>638175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777</xdr:row>
      <xdr:rowOff>28575</xdr:rowOff>
    </xdr:from>
    <xdr:to>
      <xdr:col>3</xdr:col>
      <xdr:colOff>1552575</xdr:colOff>
      <xdr:row>781</xdr:row>
      <xdr:rowOff>333375</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782</xdr:row>
      <xdr:rowOff>38100</xdr:rowOff>
    </xdr:from>
    <xdr:to>
      <xdr:col>3</xdr:col>
      <xdr:colOff>1552575</xdr:colOff>
      <xdr:row>783</xdr:row>
      <xdr:rowOff>638175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784</xdr:row>
      <xdr:rowOff>28575</xdr:rowOff>
    </xdr:from>
    <xdr:to>
      <xdr:col>3</xdr:col>
      <xdr:colOff>1552575</xdr:colOff>
      <xdr:row>789</xdr:row>
      <xdr:rowOff>209550</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790</xdr:row>
      <xdr:rowOff>28575</xdr:rowOff>
    </xdr:from>
    <xdr:to>
      <xdr:col>3</xdr:col>
      <xdr:colOff>1552575</xdr:colOff>
      <xdr:row>792</xdr:row>
      <xdr:rowOff>419100</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793</xdr:row>
      <xdr:rowOff>28575</xdr:rowOff>
    </xdr:from>
    <xdr:to>
      <xdr:col>3</xdr:col>
      <xdr:colOff>1552575</xdr:colOff>
      <xdr:row>795</xdr:row>
      <xdr:rowOff>419100</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796</xdr:row>
      <xdr:rowOff>28575</xdr:rowOff>
    </xdr:from>
    <xdr:to>
      <xdr:col>3</xdr:col>
      <xdr:colOff>1552575</xdr:colOff>
      <xdr:row>800</xdr:row>
      <xdr:rowOff>333375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801</xdr:row>
      <xdr:rowOff>28575</xdr:rowOff>
    </xdr:from>
    <xdr:to>
      <xdr:col>3</xdr:col>
      <xdr:colOff>1552575</xdr:colOff>
      <xdr:row>804</xdr:row>
      <xdr:rowOff>209550</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805</xdr:row>
      <xdr:rowOff>28575</xdr:rowOff>
    </xdr:from>
    <xdr:to>
      <xdr:col>3</xdr:col>
      <xdr:colOff>1552575</xdr:colOff>
      <xdr:row>805</xdr:row>
      <xdr:rowOff>1266825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806</xdr:row>
      <xdr:rowOff>28575</xdr:rowOff>
    </xdr:from>
    <xdr:to>
      <xdr:col>3</xdr:col>
      <xdr:colOff>1552575</xdr:colOff>
      <xdr:row>812</xdr:row>
      <xdr:rowOff>171450</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813</xdr:row>
      <xdr:rowOff>28575</xdr:rowOff>
    </xdr:from>
    <xdr:to>
      <xdr:col>3</xdr:col>
      <xdr:colOff>1552575</xdr:colOff>
      <xdr:row>821</xdr:row>
      <xdr:rowOff>133350</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823</xdr:row>
      <xdr:rowOff>28575</xdr:rowOff>
    </xdr:from>
    <xdr:to>
      <xdr:col>3</xdr:col>
      <xdr:colOff>1552575</xdr:colOff>
      <xdr:row>823</xdr:row>
      <xdr:rowOff>1266825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824</xdr:row>
      <xdr:rowOff>38100</xdr:rowOff>
    </xdr:from>
    <xdr:to>
      <xdr:col>3</xdr:col>
      <xdr:colOff>1552575</xdr:colOff>
      <xdr:row>825</xdr:row>
      <xdr:rowOff>638175</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826</xdr:row>
      <xdr:rowOff>28575</xdr:rowOff>
    </xdr:from>
    <xdr:to>
      <xdr:col>3</xdr:col>
      <xdr:colOff>1552575</xdr:colOff>
      <xdr:row>826</xdr:row>
      <xdr:rowOff>1266825</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28575</xdr:rowOff>
    </xdr:from>
    <xdr:to>
      <xdr:col>3</xdr:col>
      <xdr:colOff>1552575</xdr:colOff>
      <xdr:row>831</xdr:row>
      <xdr:rowOff>333375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832</xdr:row>
      <xdr:rowOff>28575</xdr:rowOff>
    </xdr:from>
    <xdr:to>
      <xdr:col>3</xdr:col>
      <xdr:colOff>1552575</xdr:colOff>
      <xdr:row>835</xdr:row>
      <xdr:rowOff>209550</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836</xdr:row>
      <xdr:rowOff>28575</xdr:rowOff>
    </xdr:from>
    <xdr:to>
      <xdr:col>3</xdr:col>
      <xdr:colOff>1552575</xdr:colOff>
      <xdr:row>840</xdr:row>
      <xdr:rowOff>333375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841</xdr:row>
      <xdr:rowOff>28575</xdr:rowOff>
    </xdr:from>
    <xdr:to>
      <xdr:col>3</xdr:col>
      <xdr:colOff>1552575</xdr:colOff>
      <xdr:row>844</xdr:row>
      <xdr:rowOff>209550</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845</xdr:row>
      <xdr:rowOff>28575</xdr:rowOff>
    </xdr:from>
    <xdr:to>
      <xdr:col>3</xdr:col>
      <xdr:colOff>1552575</xdr:colOff>
      <xdr:row>845</xdr:row>
      <xdr:rowOff>1266825</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846</xdr:row>
      <xdr:rowOff>28575</xdr:rowOff>
    </xdr:from>
    <xdr:to>
      <xdr:col>3</xdr:col>
      <xdr:colOff>1552575</xdr:colOff>
      <xdr:row>846</xdr:row>
      <xdr:rowOff>1266825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847</xdr:row>
      <xdr:rowOff>28575</xdr:rowOff>
    </xdr:from>
    <xdr:to>
      <xdr:col>3</xdr:col>
      <xdr:colOff>1552575</xdr:colOff>
      <xdr:row>847</xdr:row>
      <xdr:rowOff>1266825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848</xdr:row>
      <xdr:rowOff>28575</xdr:rowOff>
    </xdr:from>
    <xdr:to>
      <xdr:col>3</xdr:col>
      <xdr:colOff>1552575</xdr:colOff>
      <xdr:row>848</xdr:row>
      <xdr:rowOff>1266825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849</xdr:row>
      <xdr:rowOff>28575</xdr:rowOff>
    </xdr:from>
    <xdr:to>
      <xdr:col>3</xdr:col>
      <xdr:colOff>1552575</xdr:colOff>
      <xdr:row>849</xdr:row>
      <xdr:rowOff>1266825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850</xdr:row>
      <xdr:rowOff>38100</xdr:rowOff>
    </xdr:from>
    <xdr:to>
      <xdr:col>3</xdr:col>
      <xdr:colOff>1552575</xdr:colOff>
      <xdr:row>851</xdr:row>
      <xdr:rowOff>638175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852</xdr:row>
      <xdr:rowOff>28575</xdr:rowOff>
    </xdr:from>
    <xdr:to>
      <xdr:col>3</xdr:col>
      <xdr:colOff>1552575</xdr:colOff>
      <xdr:row>854</xdr:row>
      <xdr:rowOff>419100</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855</xdr:row>
      <xdr:rowOff>28575</xdr:rowOff>
    </xdr:from>
    <xdr:to>
      <xdr:col>3</xdr:col>
      <xdr:colOff>1552575</xdr:colOff>
      <xdr:row>855</xdr:row>
      <xdr:rowOff>1266825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856</xdr:row>
      <xdr:rowOff>28575</xdr:rowOff>
    </xdr:from>
    <xdr:to>
      <xdr:col>3</xdr:col>
      <xdr:colOff>1552575</xdr:colOff>
      <xdr:row>856</xdr:row>
      <xdr:rowOff>1266825</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857</xdr:row>
      <xdr:rowOff>28575</xdr:rowOff>
    </xdr:from>
    <xdr:to>
      <xdr:col>3</xdr:col>
      <xdr:colOff>1552575</xdr:colOff>
      <xdr:row>857</xdr:row>
      <xdr:rowOff>1266825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858</xdr:row>
      <xdr:rowOff>38100</xdr:rowOff>
    </xdr:from>
    <xdr:to>
      <xdr:col>3</xdr:col>
      <xdr:colOff>1552575</xdr:colOff>
      <xdr:row>859</xdr:row>
      <xdr:rowOff>638175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860</xdr:row>
      <xdr:rowOff>28575</xdr:rowOff>
    </xdr:from>
    <xdr:to>
      <xdr:col>3</xdr:col>
      <xdr:colOff>1552575</xdr:colOff>
      <xdr:row>860</xdr:row>
      <xdr:rowOff>1266825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861</xdr:row>
      <xdr:rowOff>28575</xdr:rowOff>
    </xdr:from>
    <xdr:to>
      <xdr:col>3</xdr:col>
      <xdr:colOff>1552575</xdr:colOff>
      <xdr:row>861</xdr:row>
      <xdr:rowOff>1266825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862</xdr:row>
      <xdr:rowOff>28575</xdr:rowOff>
    </xdr:from>
    <xdr:to>
      <xdr:col>3</xdr:col>
      <xdr:colOff>1552575</xdr:colOff>
      <xdr:row>862</xdr:row>
      <xdr:rowOff>1266825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863</xdr:row>
      <xdr:rowOff>28575</xdr:rowOff>
    </xdr:from>
    <xdr:to>
      <xdr:col>3</xdr:col>
      <xdr:colOff>1552575</xdr:colOff>
      <xdr:row>863</xdr:row>
      <xdr:rowOff>1266825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864</xdr:row>
      <xdr:rowOff>28575</xdr:rowOff>
    </xdr:from>
    <xdr:to>
      <xdr:col>3</xdr:col>
      <xdr:colOff>1552575</xdr:colOff>
      <xdr:row>864</xdr:row>
      <xdr:rowOff>1266825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865</xdr:row>
      <xdr:rowOff>28575</xdr:rowOff>
    </xdr:from>
    <xdr:to>
      <xdr:col>3</xdr:col>
      <xdr:colOff>1552575</xdr:colOff>
      <xdr:row>865</xdr:row>
      <xdr:rowOff>1266825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866</xdr:row>
      <xdr:rowOff>38100</xdr:rowOff>
    </xdr:from>
    <xdr:to>
      <xdr:col>3</xdr:col>
      <xdr:colOff>1552575</xdr:colOff>
      <xdr:row>867</xdr:row>
      <xdr:rowOff>638175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868</xdr:row>
      <xdr:rowOff>28575</xdr:rowOff>
    </xdr:from>
    <xdr:to>
      <xdr:col>3</xdr:col>
      <xdr:colOff>1552575</xdr:colOff>
      <xdr:row>868</xdr:row>
      <xdr:rowOff>1266825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869</xdr:row>
      <xdr:rowOff>38100</xdr:rowOff>
    </xdr:from>
    <xdr:to>
      <xdr:col>3</xdr:col>
      <xdr:colOff>1552575</xdr:colOff>
      <xdr:row>870</xdr:row>
      <xdr:rowOff>638175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871</xdr:row>
      <xdr:rowOff>28575</xdr:rowOff>
    </xdr:from>
    <xdr:to>
      <xdr:col>3</xdr:col>
      <xdr:colOff>1552575</xdr:colOff>
      <xdr:row>871</xdr:row>
      <xdr:rowOff>1266825</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872</xdr:row>
      <xdr:rowOff>28575</xdr:rowOff>
    </xdr:from>
    <xdr:to>
      <xdr:col>3</xdr:col>
      <xdr:colOff>1552575</xdr:colOff>
      <xdr:row>872</xdr:row>
      <xdr:rowOff>1266825</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873</xdr:row>
      <xdr:rowOff>28575</xdr:rowOff>
    </xdr:from>
    <xdr:to>
      <xdr:col>3</xdr:col>
      <xdr:colOff>1552575</xdr:colOff>
      <xdr:row>873</xdr:row>
      <xdr:rowOff>1266825</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874</xdr:row>
      <xdr:rowOff>28575</xdr:rowOff>
    </xdr:from>
    <xdr:to>
      <xdr:col>3</xdr:col>
      <xdr:colOff>1552575</xdr:colOff>
      <xdr:row>874</xdr:row>
      <xdr:rowOff>1266825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875</xdr:row>
      <xdr:rowOff>28575</xdr:rowOff>
    </xdr:from>
    <xdr:to>
      <xdr:col>3</xdr:col>
      <xdr:colOff>1552575</xdr:colOff>
      <xdr:row>875</xdr:row>
      <xdr:rowOff>1266825</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876</xdr:row>
      <xdr:rowOff>28575</xdr:rowOff>
    </xdr:from>
    <xdr:to>
      <xdr:col>3</xdr:col>
      <xdr:colOff>1552575</xdr:colOff>
      <xdr:row>876</xdr:row>
      <xdr:rowOff>1266825</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877</xdr:row>
      <xdr:rowOff>28575</xdr:rowOff>
    </xdr:from>
    <xdr:to>
      <xdr:col>3</xdr:col>
      <xdr:colOff>1552575</xdr:colOff>
      <xdr:row>877</xdr:row>
      <xdr:rowOff>1266825</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878</xdr:row>
      <xdr:rowOff>28575</xdr:rowOff>
    </xdr:from>
    <xdr:to>
      <xdr:col>3</xdr:col>
      <xdr:colOff>1552575</xdr:colOff>
      <xdr:row>878</xdr:row>
      <xdr:rowOff>1266825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879</xdr:row>
      <xdr:rowOff>28575</xdr:rowOff>
    </xdr:from>
    <xdr:to>
      <xdr:col>3</xdr:col>
      <xdr:colOff>1552575</xdr:colOff>
      <xdr:row>879</xdr:row>
      <xdr:rowOff>1266825</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880</xdr:row>
      <xdr:rowOff>28575</xdr:rowOff>
    </xdr:from>
    <xdr:to>
      <xdr:col>3</xdr:col>
      <xdr:colOff>1552575</xdr:colOff>
      <xdr:row>880</xdr:row>
      <xdr:rowOff>1266825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881</xdr:row>
      <xdr:rowOff>28575</xdr:rowOff>
    </xdr:from>
    <xdr:to>
      <xdr:col>3</xdr:col>
      <xdr:colOff>1552575</xdr:colOff>
      <xdr:row>881</xdr:row>
      <xdr:rowOff>1266825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882</xdr:row>
      <xdr:rowOff>38100</xdr:rowOff>
    </xdr:from>
    <xdr:to>
      <xdr:col>3</xdr:col>
      <xdr:colOff>1552575</xdr:colOff>
      <xdr:row>883</xdr:row>
      <xdr:rowOff>638175</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884</xdr:row>
      <xdr:rowOff>38100</xdr:rowOff>
    </xdr:from>
    <xdr:to>
      <xdr:col>3</xdr:col>
      <xdr:colOff>1552575</xdr:colOff>
      <xdr:row>885</xdr:row>
      <xdr:rowOff>638175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886</xdr:row>
      <xdr:rowOff>28575</xdr:rowOff>
    </xdr:from>
    <xdr:to>
      <xdr:col>3</xdr:col>
      <xdr:colOff>1552575</xdr:colOff>
      <xdr:row>886</xdr:row>
      <xdr:rowOff>1266825</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887</xdr:row>
      <xdr:rowOff>28575</xdr:rowOff>
    </xdr:from>
    <xdr:to>
      <xdr:col>3</xdr:col>
      <xdr:colOff>1552575</xdr:colOff>
      <xdr:row>887</xdr:row>
      <xdr:rowOff>1266825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888</xdr:row>
      <xdr:rowOff>38100</xdr:rowOff>
    </xdr:from>
    <xdr:to>
      <xdr:col>3</xdr:col>
      <xdr:colOff>1552575</xdr:colOff>
      <xdr:row>889</xdr:row>
      <xdr:rowOff>638175</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890</xdr:row>
      <xdr:rowOff>28575</xdr:rowOff>
    </xdr:from>
    <xdr:to>
      <xdr:col>3</xdr:col>
      <xdr:colOff>1552575</xdr:colOff>
      <xdr:row>890</xdr:row>
      <xdr:rowOff>1266825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891</xdr:row>
      <xdr:rowOff>28575</xdr:rowOff>
    </xdr:from>
    <xdr:to>
      <xdr:col>3</xdr:col>
      <xdr:colOff>1552575</xdr:colOff>
      <xdr:row>891</xdr:row>
      <xdr:rowOff>1266825</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892</xdr:row>
      <xdr:rowOff>38100</xdr:rowOff>
    </xdr:from>
    <xdr:to>
      <xdr:col>3</xdr:col>
      <xdr:colOff>1552575</xdr:colOff>
      <xdr:row>893</xdr:row>
      <xdr:rowOff>638175</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894</xdr:row>
      <xdr:rowOff>38100</xdr:rowOff>
    </xdr:from>
    <xdr:to>
      <xdr:col>3</xdr:col>
      <xdr:colOff>1552575</xdr:colOff>
      <xdr:row>895</xdr:row>
      <xdr:rowOff>638175</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896</xdr:row>
      <xdr:rowOff>28575</xdr:rowOff>
    </xdr:from>
    <xdr:to>
      <xdr:col>3</xdr:col>
      <xdr:colOff>1552575</xdr:colOff>
      <xdr:row>898</xdr:row>
      <xdr:rowOff>419100</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899</xdr:row>
      <xdr:rowOff>28575</xdr:rowOff>
    </xdr:from>
    <xdr:to>
      <xdr:col>3</xdr:col>
      <xdr:colOff>1552575</xdr:colOff>
      <xdr:row>899</xdr:row>
      <xdr:rowOff>1266825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900</xdr:row>
      <xdr:rowOff>38100</xdr:rowOff>
    </xdr:from>
    <xdr:to>
      <xdr:col>3</xdr:col>
      <xdr:colOff>1552575</xdr:colOff>
      <xdr:row>901</xdr:row>
      <xdr:rowOff>638175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902</xdr:row>
      <xdr:rowOff>28575</xdr:rowOff>
    </xdr:from>
    <xdr:to>
      <xdr:col>3</xdr:col>
      <xdr:colOff>1552575</xdr:colOff>
      <xdr:row>902</xdr:row>
      <xdr:rowOff>1266825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903</xdr:row>
      <xdr:rowOff>28575</xdr:rowOff>
    </xdr:from>
    <xdr:to>
      <xdr:col>3</xdr:col>
      <xdr:colOff>1552575</xdr:colOff>
      <xdr:row>903</xdr:row>
      <xdr:rowOff>1266825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904</xdr:row>
      <xdr:rowOff>28575</xdr:rowOff>
    </xdr:from>
    <xdr:to>
      <xdr:col>3</xdr:col>
      <xdr:colOff>1552575</xdr:colOff>
      <xdr:row>904</xdr:row>
      <xdr:rowOff>1266825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905</xdr:row>
      <xdr:rowOff>28575</xdr:rowOff>
    </xdr:from>
    <xdr:to>
      <xdr:col>3</xdr:col>
      <xdr:colOff>1552575</xdr:colOff>
      <xdr:row>905</xdr:row>
      <xdr:rowOff>1266825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906</xdr:row>
      <xdr:rowOff>28575</xdr:rowOff>
    </xdr:from>
    <xdr:to>
      <xdr:col>3</xdr:col>
      <xdr:colOff>1552575</xdr:colOff>
      <xdr:row>906</xdr:row>
      <xdr:rowOff>1266825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907</xdr:row>
      <xdr:rowOff>28575</xdr:rowOff>
    </xdr:from>
    <xdr:to>
      <xdr:col>3</xdr:col>
      <xdr:colOff>1552575</xdr:colOff>
      <xdr:row>907</xdr:row>
      <xdr:rowOff>1266825</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908</xdr:row>
      <xdr:rowOff>28575</xdr:rowOff>
    </xdr:from>
    <xdr:to>
      <xdr:col>3</xdr:col>
      <xdr:colOff>1552575</xdr:colOff>
      <xdr:row>908</xdr:row>
      <xdr:rowOff>1266825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909</xdr:row>
      <xdr:rowOff>28575</xdr:rowOff>
    </xdr:from>
    <xdr:to>
      <xdr:col>3</xdr:col>
      <xdr:colOff>1552575</xdr:colOff>
      <xdr:row>909</xdr:row>
      <xdr:rowOff>1266825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910</xdr:row>
      <xdr:rowOff>28575</xdr:rowOff>
    </xdr:from>
    <xdr:to>
      <xdr:col>3</xdr:col>
      <xdr:colOff>1552575</xdr:colOff>
      <xdr:row>910</xdr:row>
      <xdr:rowOff>1266825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911</xdr:row>
      <xdr:rowOff>38100</xdr:rowOff>
    </xdr:from>
    <xdr:to>
      <xdr:col>3</xdr:col>
      <xdr:colOff>1552575</xdr:colOff>
      <xdr:row>912</xdr:row>
      <xdr:rowOff>638175</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913</xdr:row>
      <xdr:rowOff>38100</xdr:rowOff>
    </xdr:from>
    <xdr:to>
      <xdr:col>3</xdr:col>
      <xdr:colOff>1552575</xdr:colOff>
      <xdr:row>914</xdr:row>
      <xdr:rowOff>638175</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915</xdr:row>
      <xdr:rowOff>38100</xdr:rowOff>
    </xdr:from>
    <xdr:to>
      <xdr:col>3</xdr:col>
      <xdr:colOff>1552575</xdr:colOff>
      <xdr:row>916</xdr:row>
      <xdr:rowOff>638175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917</xdr:row>
      <xdr:rowOff>28575</xdr:rowOff>
    </xdr:from>
    <xdr:to>
      <xdr:col>3</xdr:col>
      <xdr:colOff>1552575</xdr:colOff>
      <xdr:row>917</xdr:row>
      <xdr:rowOff>1266825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918</xdr:row>
      <xdr:rowOff>38100</xdr:rowOff>
    </xdr:from>
    <xdr:to>
      <xdr:col>3</xdr:col>
      <xdr:colOff>1552575</xdr:colOff>
      <xdr:row>919</xdr:row>
      <xdr:rowOff>638175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920</xdr:row>
      <xdr:rowOff>28575</xdr:rowOff>
    </xdr:from>
    <xdr:to>
      <xdr:col>3</xdr:col>
      <xdr:colOff>1552575</xdr:colOff>
      <xdr:row>920</xdr:row>
      <xdr:rowOff>1266825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921</xdr:row>
      <xdr:rowOff>28575</xdr:rowOff>
    </xdr:from>
    <xdr:to>
      <xdr:col>3</xdr:col>
      <xdr:colOff>1552575</xdr:colOff>
      <xdr:row>921</xdr:row>
      <xdr:rowOff>1266825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922</xdr:row>
      <xdr:rowOff>28575</xdr:rowOff>
    </xdr:from>
    <xdr:to>
      <xdr:col>3</xdr:col>
      <xdr:colOff>1552575</xdr:colOff>
      <xdr:row>922</xdr:row>
      <xdr:rowOff>1266825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923</xdr:row>
      <xdr:rowOff>28575</xdr:rowOff>
    </xdr:from>
    <xdr:to>
      <xdr:col>3</xdr:col>
      <xdr:colOff>1552575</xdr:colOff>
      <xdr:row>923</xdr:row>
      <xdr:rowOff>1266825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924</xdr:row>
      <xdr:rowOff>28575</xdr:rowOff>
    </xdr:from>
    <xdr:to>
      <xdr:col>3</xdr:col>
      <xdr:colOff>1552575</xdr:colOff>
      <xdr:row>924</xdr:row>
      <xdr:rowOff>1266825</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925</xdr:row>
      <xdr:rowOff>28575</xdr:rowOff>
    </xdr:from>
    <xdr:to>
      <xdr:col>3</xdr:col>
      <xdr:colOff>1552575</xdr:colOff>
      <xdr:row>925</xdr:row>
      <xdr:rowOff>1266825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926</xdr:row>
      <xdr:rowOff>38100</xdr:rowOff>
    </xdr:from>
    <xdr:to>
      <xdr:col>3</xdr:col>
      <xdr:colOff>1552575</xdr:colOff>
      <xdr:row>927</xdr:row>
      <xdr:rowOff>638175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928</xdr:row>
      <xdr:rowOff>28575</xdr:rowOff>
    </xdr:from>
    <xdr:to>
      <xdr:col>3</xdr:col>
      <xdr:colOff>1552575</xdr:colOff>
      <xdr:row>928</xdr:row>
      <xdr:rowOff>1266825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929</xdr:row>
      <xdr:rowOff>28575</xdr:rowOff>
    </xdr:from>
    <xdr:to>
      <xdr:col>3</xdr:col>
      <xdr:colOff>1552575</xdr:colOff>
      <xdr:row>929</xdr:row>
      <xdr:rowOff>1266825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930</xdr:row>
      <xdr:rowOff>28575</xdr:rowOff>
    </xdr:from>
    <xdr:to>
      <xdr:col>3</xdr:col>
      <xdr:colOff>1552575</xdr:colOff>
      <xdr:row>930</xdr:row>
      <xdr:rowOff>1266825</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931</xdr:row>
      <xdr:rowOff>28575</xdr:rowOff>
    </xdr:from>
    <xdr:to>
      <xdr:col>3</xdr:col>
      <xdr:colOff>1552575</xdr:colOff>
      <xdr:row>931</xdr:row>
      <xdr:rowOff>1266825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932</xdr:row>
      <xdr:rowOff>28575</xdr:rowOff>
    </xdr:from>
    <xdr:to>
      <xdr:col>3</xdr:col>
      <xdr:colOff>1552575</xdr:colOff>
      <xdr:row>932</xdr:row>
      <xdr:rowOff>1266825</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933</xdr:row>
      <xdr:rowOff>28575</xdr:rowOff>
    </xdr:from>
    <xdr:to>
      <xdr:col>3</xdr:col>
      <xdr:colOff>1552575</xdr:colOff>
      <xdr:row>933</xdr:row>
      <xdr:rowOff>1266825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934</xdr:row>
      <xdr:rowOff>28575</xdr:rowOff>
    </xdr:from>
    <xdr:to>
      <xdr:col>3</xdr:col>
      <xdr:colOff>1552575</xdr:colOff>
      <xdr:row>934</xdr:row>
      <xdr:rowOff>1266825</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935</xdr:row>
      <xdr:rowOff>28575</xdr:rowOff>
    </xdr:from>
    <xdr:to>
      <xdr:col>3</xdr:col>
      <xdr:colOff>1552575</xdr:colOff>
      <xdr:row>935</xdr:row>
      <xdr:rowOff>1266825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936</xdr:row>
      <xdr:rowOff>38100</xdr:rowOff>
    </xdr:from>
    <xdr:to>
      <xdr:col>3</xdr:col>
      <xdr:colOff>1552575</xdr:colOff>
      <xdr:row>937</xdr:row>
      <xdr:rowOff>638175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938</xdr:row>
      <xdr:rowOff>38100</xdr:rowOff>
    </xdr:from>
    <xdr:to>
      <xdr:col>3</xdr:col>
      <xdr:colOff>1552575</xdr:colOff>
      <xdr:row>939</xdr:row>
      <xdr:rowOff>638175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940</xdr:row>
      <xdr:rowOff>38100</xdr:rowOff>
    </xdr:from>
    <xdr:to>
      <xdr:col>3</xdr:col>
      <xdr:colOff>1552575</xdr:colOff>
      <xdr:row>941</xdr:row>
      <xdr:rowOff>638175</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942</xdr:row>
      <xdr:rowOff>38100</xdr:rowOff>
    </xdr:from>
    <xdr:to>
      <xdr:col>3</xdr:col>
      <xdr:colOff>1552575</xdr:colOff>
      <xdr:row>943</xdr:row>
      <xdr:rowOff>638175</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944</xdr:row>
      <xdr:rowOff>28575</xdr:rowOff>
    </xdr:from>
    <xdr:to>
      <xdr:col>3</xdr:col>
      <xdr:colOff>1552575</xdr:colOff>
      <xdr:row>944</xdr:row>
      <xdr:rowOff>1266825</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945</xdr:row>
      <xdr:rowOff>28575</xdr:rowOff>
    </xdr:from>
    <xdr:to>
      <xdr:col>3</xdr:col>
      <xdr:colOff>1552575</xdr:colOff>
      <xdr:row>945</xdr:row>
      <xdr:rowOff>1266825</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946</xdr:row>
      <xdr:rowOff>28575</xdr:rowOff>
    </xdr:from>
    <xdr:to>
      <xdr:col>3</xdr:col>
      <xdr:colOff>1552575</xdr:colOff>
      <xdr:row>946</xdr:row>
      <xdr:rowOff>1266825</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947</xdr:row>
      <xdr:rowOff>38100</xdr:rowOff>
    </xdr:from>
    <xdr:to>
      <xdr:col>3</xdr:col>
      <xdr:colOff>1552575</xdr:colOff>
      <xdr:row>948</xdr:row>
      <xdr:rowOff>638175</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949</xdr:row>
      <xdr:rowOff>28575</xdr:rowOff>
    </xdr:from>
    <xdr:to>
      <xdr:col>3</xdr:col>
      <xdr:colOff>1552575</xdr:colOff>
      <xdr:row>949</xdr:row>
      <xdr:rowOff>1266825</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950</xdr:row>
      <xdr:rowOff>28575</xdr:rowOff>
    </xdr:from>
    <xdr:to>
      <xdr:col>3</xdr:col>
      <xdr:colOff>1552575</xdr:colOff>
      <xdr:row>950</xdr:row>
      <xdr:rowOff>1266825</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951</xdr:row>
      <xdr:rowOff>28575</xdr:rowOff>
    </xdr:from>
    <xdr:to>
      <xdr:col>3</xdr:col>
      <xdr:colOff>1552575</xdr:colOff>
      <xdr:row>951</xdr:row>
      <xdr:rowOff>1266825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952</xdr:row>
      <xdr:rowOff>38100</xdr:rowOff>
    </xdr:from>
    <xdr:to>
      <xdr:col>3</xdr:col>
      <xdr:colOff>1552575</xdr:colOff>
      <xdr:row>953</xdr:row>
      <xdr:rowOff>638175</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954</xdr:row>
      <xdr:rowOff>28575</xdr:rowOff>
    </xdr:from>
    <xdr:to>
      <xdr:col>3</xdr:col>
      <xdr:colOff>1552575</xdr:colOff>
      <xdr:row>954</xdr:row>
      <xdr:rowOff>1266825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955</xdr:row>
      <xdr:rowOff>28575</xdr:rowOff>
    </xdr:from>
    <xdr:to>
      <xdr:col>3</xdr:col>
      <xdr:colOff>1552575</xdr:colOff>
      <xdr:row>955</xdr:row>
      <xdr:rowOff>1266825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956</xdr:row>
      <xdr:rowOff>28575</xdr:rowOff>
    </xdr:from>
    <xdr:to>
      <xdr:col>3</xdr:col>
      <xdr:colOff>1552575</xdr:colOff>
      <xdr:row>956</xdr:row>
      <xdr:rowOff>1266825</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957</xdr:row>
      <xdr:rowOff>28575</xdr:rowOff>
    </xdr:from>
    <xdr:to>
      <xdr:col>3</xdr:col>
      <xdr:colOff>1552575</xdr:colOff>
      <xdr:row>957</xdr:row>
      <xdr:rowOff>1266825</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958</xdr:row>
      <xdr:rowOff>38100</xdr:rowOff>
    </xdr:from>
    <xdr:to>
      <xdr:col>3</xdr:col>
      <xdr:colOff>1552575</xdr:colOff>
      <xdr:row>959</xdr:row>
      <xdr:rowOff>638175</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960</xdr:row>
      <xdr:rowOff>28575</xdr:rowOff>
    </xdr:from>
    <xdr:to>
      <xdr:col>3</xdr:col>
      <xdr:colOff>1552575</xdr:colOff>
      <xdr:row>965</xdr:row>
      <xdr:rowOff>209550</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966</xdr:row>
      <xdr:rowOff>28575</xdr:rowOff>
    </xdr:from>
    <xdr:to>
      <xdr:col>3</xdr:col>
      <xdr:colOff>1552575</xdr:colOff>
      <xdr:row>966</xdr:row>
      <xdr:rowOff>1266825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967</xdr:row>
      <xdr:rowOff>28575</xdr:rowOff>
    </xdr:from>
    <xdr:to>
      <xdr:col>3</xdr:col>
      <xdr:colOff>1552575</xdr:colOff>
      <xdr:row>969</xdr:row>
      <xdr:rowOff>419100</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970</xdr:row>
      <xdr:rowOff>38100</xdr:rowOff>
    </xdr:from>
    <xdr:to>
      <xdr:col>3</xdr:col>
      <xdr:colOff>1552575</xdr:colOff>
      <xdr:row>971</xdr:row>
      <xdr:rowOff>638175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972</xdr:row>
      <xdr:rowOff>28575</xdr:rowOff>
    </xdr:from>
    <xdr:to>
      <xdr:col>3</xdr:col>
      <xdr:colOff>1552575</xdr:colOff>
      <xdr:row>972</xdr:row>
      <xdr:rowOff>1266825</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973</xdr:row>
      <xdr:rowOff>28575</xdr:rowOff>
    </xdr:from>
    <xdr:to>
      <xdr:col>3</xdr:col>
      <xdr:colOff>1552575</xdr:colOff>
      <xdr:row>973</xdr:row>
      <xdr:rowOff>1266825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974</xdr:row>
      <xdr:rowOff>28575</xdr:rowOff>
    </xdr:from>
    <xdr:to>
      <xdr:col>3</xdr:col>
      <xdr:colOff>1552575</xdr:colOff>
      <xdr:row>974</xdr:row>
      <xdr:rowOff>1266825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975</xdr:row>
      <xdr:rowOff>38100</xdr:rowOff>
    </xdr:from>
    <xdr:to>
      <xdr:col>3</xdr:col>
      <xdr:colOff>1552575</xdr:colOff>
      <xdr:row>976</xdr:row>
      <xdr:rowOff>638175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977</xdr:row>
      <xdr:rowOff>28575</xdr:rowOff>
    </xdr:from>
    <xdr:to>
      <xdr:col>3</xdr:col>
      <xdr:colOff>1552575</xdr:colOff>
      <xdr:row>981</xdr:row>
      <xdr:rowOff>333375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982</xdr:row>
      <xdr:rowOff>38100</xdr:rowOff>
    </xdr:from>
    <xdr:to>
      <xdr:col>3</xdr:col>
      <xdr:colOff>1552575</xdr:colOff>
      <xdr:row>983</xdr:row>
      <xdr:rowOff>638175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984</xdr:row>
      <xdr:rowOff>28575</xdr:rowOff>
    </xdr:from>
    <xdr:to>
      <xdr:col>3</xdr:col>
      <xdr:colOff>1552575</xdr:colOff>
      <xdr:row>984</xdr:row>
      <xdr:rowOff>1266825</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985</xdr:row>
      <xdr:rowOff>28575</xdr:rowOff>
    </xdr:from>
    <xdr:to>
      <xdr:col>3</xdr:col>
      <xdr:colOff>1552575</xdr:colOff>
      <xdr:row>987</xdr:row>
      <xdr:rowOff>419100</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988</xdr:row>
      <xdr:rowOff>28575</xdr:rowOff>
    </xdr:from>
    <xdr:to>
      <xdr:col>3</xdr:col>
      <xdr:colOff>1552575</xdr:colOff>
      <xdr:row>990</xdr:row>
      <xdr:rowOff>419100</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991</xdr:row>
      <xdr:rowOff>28575</xdr:rowOff>
    </xdr:from>
    <xdr:to>
      <xdr:col>3</xdr:col>
      <xdr:colOff>1552575</xdr:colOff>
      <xdr:row>994</xdr:row>
      <xdr:rowOff>209550</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995</xdr:row>
      <xdr:rowOff>38100</xdr:rowOff>
    </xdr:from>
    <xdr:to>
      <xdr:col>3</xdr:col>
      <xdr:colOff>1552575</xdr:colOff>
      <xdr:row>996</xdr:row>
      <xdr:rowOff>638175</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997</xdr:row>
      <xdr:rowOff>38100</xdr:rowOff>
    </xdr:from>
    <xdr:to>
      <xdr:col>3</xdr:col>
      <xdr:colOff>1552575</xdr:colOff>
      <xdr:row>998</xdr:row>
      <xdr:rowOff>638175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999</xdr:row>
      <xdr:rowOff>28575</xdr:rowOff>
    </xdr:from>
    <xdr:to>
      <xdr:col>3</xdr:col>
      <xdr:colOff>1552575</xdr:colOff>
      <xdr:row>1001</xdr:row>
      <xdr:rowOff>419100</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1002</xdr:row>
      <xdr:rowOff>28575</xdr:rowOff>
    </xdr:from>
    <xdr:to>
      <xdr:col>3</xdr:col>
      <xdr:colOff>1552575</xdr:colOff>
      <xdr:row>1004</xdr:row>
      <xdr:rowOff>419100</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1005</xdr:row>
      <xdr:rowOff>28575</xdr:rowOff>
    </xdr:from>
    <xdr:to>
      <xdr:col>3</xdr:col>
      <xdr:colOff>1552575</xdr:colOff>
      <xdr:row>1005</xdr:row>
      <xdr:rowOff>1266825</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1006</xdr:row>
      <xdr:rowOff>28575</xdr:rowOff>
    </xdr:from>
    <xdr:to>
      <xdr:col>3</xdr:col>
      <xdr:colOff>1552575</xdr:colOff>
      <xdr:row>1006</xdr:row>
      <xdr:rowOff>1266825</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1007</xdr:row>
      <xdr:rowOff>38100</xdr:rowOff>
    </xdr:from>
    <xdr:to>
      <xdr:col>3</xdr:col>
      <xdr:colOff>1552575</xdr:colOff>
      <xdr:row>1008</xdr:row>
      <xdr:rowOff>638175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1009</xdr:row>
      <xdr:rowOff>28575</xdr:rowOff>
    </xdr:from>
    <xdr:to>
      <xdr:col>3</xdr:col>
      <xdr:colOff>1552575</xdr:colOff>
      <xdr:row>1011</xdr:row>
      <xdr:rowOff>419100</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1012</xdr:row>
      <xdr:rowOff>28575</xdr:rowOff>
    </xdr:from>
    <xdr:to>
      <xdr:col>3</xdr:col>
      <xdr:colOff>1552575</xdr:colOff>
      <xdr:row>1015</xdr:row>
      <xdr:rowOff>209550</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1016</xdr:row>
      <xdr:rowOff>38100</xdr:rowOff>
    </xdr:from>
    <xdr:to>
      <xdr:col>3</xdr:col>
      <xdr:colOff>1552575</xdr:colOff>
      <xdr:row>1017</xdr:row>
      <xdr:rowOff>638175</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1018</xdr:row>
      <xdr:rowOff>38100</xdr:rowOff>
    </xdr:from>
    <xdr:to>
      <xdr:col>3</xdr:col>
      <xdr:colOff>1552575</xdr:colOff>
      <xdr:row>1019</xdr:row>
      <xdr:rowOff>638175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1020</xdr:row>
      <xdr:rowOff>28575</xdr:rowOff>
    </xdr:from>
    <xdr:to>
      <xdr:col>3</xdr:col>
      <xdr:colOff>1552575</xdr:colOff>
      <xdr:row>1020</xdr:row>
      <xdr:rowOff>1266825</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1021</xdr:row>
      <xdr:rowOff>28575</xdr:rowOff>
    </xdr:from>
    <xdr:to>
      <xdr:col>3</xdr:col>
      <xdr:colOff>1552575</xdr:colOff>
      <xdr:row>1021</xdr:row>
      <xdr:rowOff>1266825</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1022</xdr:row>
      <xdr:rowOff>38100</xdr:rowOff>
    </xdr:from>
    <xdr:to>
      <xdr:col>3</xdr:col>
      <xdr:colOff>1552575</xdr:colOff>
      <xdr:row>1023</xdr:row>
      <xdr:rowOff>638175</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1024</xdr:row>
      <xdr:rowOff>28575</xdr:rowOff>
    </xdr:from>
    <xdr:to>
      <xdr:col>3</xdr:col>
      <xdr:colOff>1552575</xdr:colOff>
      <xdr:row>1024</xdr:row>
      <xdr:rowOff>1266825</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1025</xdr:row>
      <xdr:rowOff>38100</xdr:rowOff>
    </xdr:from>
    <xdr:to>
      <xdr:col>3</xdr:col>
      <xdr:colOff>1552575</xdr:colOff>
      <xdr:row>1026</xdr:row>
      <xdr:rowOff>638175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1027</xdr:row>
      <xdr:rowOff>28575</xdr:rowOff>
    </xdr:from>
    <xdr:to>
      <xdr:col>3</xdr:col>
      <xdr:colOff>1552575</xdr:colOff>
      <xdr:row>1030</xdr:row>
      <xdr:rowOff>209550</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1031</xdr:row>
      <xdr:rowOff>28575</xdr:rowOff>
    </xdr:from>
    <xdr:to>
      <xdr:col>3</xdr:col>
      <xdr:colOff>1552575</xdr:colOff>
      <xdr:row>1034</xdr:row>
      <xdr:rowOff>209550</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1035</xdr:row>
      <xdr:rowOff>28575</xdr:rowOff>
    </xdr:from>
    <xdr:to>
      <xdr:col>3</xdr:col>
      <xdr:colOff>1552575</xdr:colOff>
      <xdr:row>1035</xdr:row>
      <xdr:rowOff>1266825</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1036</xdr:row>
      <xdr:rowOff>38100</xdr:rowOff>
    </xdr:from>
    <xdr:to>
      <xdr:col>3</xdr:col>
      <xdr:colOff>1552575</xdr:colOff>
      <xdr:row>1037</xdr:row>
      <xdr:rowOff>638175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1038</xdr:row>
      <xdr:rowOff>28575</xdr:rowOff>
    </xdr:from>
    <xdr:to>
      <xdr:col>3</xdr:col>
      <xdr:colOff>1552575</xdr:colOff>
      <xdr:row>1040</xdr:row>
      <xdr:rowOff>419100</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1041</xdr:row>
      <xdr:rowOff>28575</xdr:rowOff>
    </xdr:from>
    <xdr:to>
      <xdr:col>3</xdr:col>
      <xdr:colOff>1552575</xdr:colOff>
      <xdr:row>1043</xdr:row>
      <xdr:rowOff>419100</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1044</xdr:row>
      <xdr:rowOff>38100</xdr:rowOff>
    </xdr:from>
    <xdr:to>
      <xdr:col>3</xdr:col>
      <xdr:colOff>1552575</xdr:colOff>
      <xdr:row>1045</xdr:row>
      <xdr:rowOff>638175</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1046</xdr:row>
      <xdr:rowOff>28575</xdr:rowOff>
    </xdr:from>
    <xdr:to>
      <xdr:col>3</xdr:col>
      <xdr:colOff>1552575</xdr:colOff>
      <xdr:row>1052</xdr:row>
      <xdr:rowOff>171450</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1053</xdr:row>
      <xdr:rowOff>28575</xdr:rowOff>
    </xdr:from>
    <xdr:to>
      <xdr:col>3</xdr:col>
      <xdr:colOff>1552575</xdr:colOff>
      <xdr:row>1053</xdr:row>
      <xdr:rowOff>1266825</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1054</xdr:row>
      <xdr:rowOff>28575</xdr:rowOff>
    </xdr:from>
    <xdr:to>
      <xdr:col>3</xdr:col>
      <xdr:colOff>1552575</xdr:colOff>
      <xdr:row>1059</xdr:row>
      <xdr:rowOff>209550</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1060</xdr:row>
      <xdr:rowOff>28575</xdr:rowOff>
    </xdr:from>
    <xdr:to>
      <xdr:col>3</xdr:col>
      <xdr:colOff>1552575</xdr:colOff>
      <xdr:row>1060</xdr:row>
      <xdr:rowOff>1266825</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1061</xdr:row>
      <xdr:rowOff>28575</xdr:rowOff>
    </xdr:from>
    <xdr:to>
      <xdr:col>3</xdr:col>
      <xdr:colOff>1552575</xdr:colOff>
      <xdr:row>1064</xdr:row>
      <xdr:rowOff>209550</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1065</xdr:row>
      <xdr:rowOff>28575</xdr:rowOff>
    </xdr:from>
    <xdr:to>
      <xdr:col>3</xdr:col>
      <xdr:colOff>1552575</xdr:colOff>
      <xdr:row>1065</xdr:row>
      <xdr:rowOff>1266825</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1066</xdr:row>
      <xdr:rowOff>38100</xdr:rowOff>
    </xdr:from>
    <xdr:to>
      <xdr:col>3</xdr:col>
      <xdr:colOff>1552575</xdr:colOff>
      <xdr:row>1067</xdr:row>
      <xdr:rowOff>638175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1068</xdr:row>
      <xdr:rowOff>28575</xdr:rowOff>
    </xdr:from>
    <xdr:to>
      <xdr:col>3</xdr:col>
      <xdr:colOff>1552575</xdr:colOff>
      <xdr:row>1072</xdr:row>
      <xdr:rowOff>333375</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1073</xdr:row>
      <xdr:rowOff>28575</xdr:rowOff>
    </xdr:from>
    <xdr:to>
      <xdr:col>3</xdr:col>
      <xdr:colOff>1552575</xdr:colOff>
      <xdr:row>1076</xdr:row>
      <xdr:rowOff>209550</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1077</xdr:row>
      <xdr:rowOff>28575</xdr:rowOff>
    </xdr:from>
    <xdr:to>
      <xdr:col>3</xdr:col>
      <xdr:colOff>1552575</xdr:colOff>
      <xdr:row>1081</xdr:row>
      <xdr:rowOff>333375</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1082</xdr:row>
      <xdr:rowOff>28575</xdr:rowOff>
    </xdr:from>
    <xdr:to>
      <xdr:col>3</xdr:col>
      <xdr:colOff>1552575</xdr:colOff>
      <xdr:row>1082</xdr:row>
      <xdr:rowOff>1266825</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1083</xdr:row>
      <xdr:rowOff>28575</xdr:rowOff>
    </xdr:from>
    <xdr:to>
      <xdr:col>3</xdr:col>
      <xdr:colOff>1552575</xdr:colOff>
      <xdr:row>1087</xdr:row>
      <xdr:rowOff>333375</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1088</xdr:row>
      <xdr:rowOff>28575</xdr:rowOff>
    </xdr:from>
    <xdr:to>
      <xdr:col>3</xdr:col>
      <xdr:colOff>1552575</xdr:colOff>
      <xdr:row>1088</xdr:row>
      <xdr:rowOff>1266825</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1089</xdr:row>
      <xdr:rowOff>28575</xdr:rowOff>
    </xdr:from>
    <xdr:to>
      <xdr:col>3</xdr:col>
      <xdr:colOff>1552575</xdr:colOff>
      <xdr:row>1091</xdr:row>
      <xdr:rowOff>419100</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1092</xdr:row>
      <xdr:rowOff>28575</xdr:rowOff>
    </xdr:from>
    <xdr:to>
      <xdr:col>3</xdr:col>
      <xdr:colOff>1552575</xdr:colOff>
      <xdr:row>1095</xdr:row>
      <xdr:rowOff>209550</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1096</xdr:row>
      <xdr:rowOff>28575</xdr:rowOff>
    </xdr:from>
    <xdr:to>
      <xdr:col>3</xdr:col>
      <xdr:colOff>1552575</xdr:colOff>
      <xdr:row>1099</xdr:row>
      <xdr:rowOff>209550</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1100</xdr:row>
      <xdr:rowOff>28575</xdr:rowOff>
    </xdr:from>
    <xdr:to>
      <xdr:col>3</xdr:col>
      <xdr:colOff>1552575</xdr:colOff>
      <xdr:row>1100</xdr:row>
      <xdr:rowOff>1266825</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1101</xdr:row>
      <xdr:rowOff>28575</xdr:rowOff>
    </xdr:from>
    <xdr:to>
      <xdr:col>3</xdr:col>
      <xdr:colOff>1552575</xdr:colOff>
      <xdr:row>1105</xdr:row>
      <xdr:rowOff>333375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1106</xdr:row>
      <xdr:rowOff>28575</xdr:rowOff>
    </xdr:from>
    <xdr:to>
      <xdr:col>3</xdr:col>
      <xdr:colOff>1552575</xdr:colOff>
      <xdr:row>1108</xdr:row>
      <xdr:rowOff>419100</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1109</xdr:row>
      <xdr:rowOff>28575</xdr:rowOff>
    </xdr:from>
    <xdr:to>
      <xdr:col>3</xdr:col>
      <xdr:colOff>1552575</xdr:colOff>
      <xdr:row>1109</xdr:row>
      <xdr:rowOff>1266825</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1110</xdr:row>
      <xdr:rowOff>38100</xdr:rowOff>
    </xdr:from>
    <xdr:to>
      <xdr:col>3</xdr:col>
      <xdr:colOff>1552575</xdr:colOff>
      <xdr:row>1111</xdr:row>
      <xdr:rowOff>638175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1112</xdr:row>
      <xdr:rowOff>28575</xdr:rowOff>
    </xdr:from>
    <xdr:to>
      <xdr:col>3</xdr:col>
      <xdr:colOff>1552575</xdr:colOff>
      <xdr:row>1112</xdr:row>
      <xdr:rowOff>1266825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1113</xdr:row>
      <xdr:rowOff>38100</xdr:rowOff>
    </xdr:from>
    <xdr:to>
      <xdr:col>3</xdr:col>
      <xdr:colOff>1552575</xdr:colOff>
      <xdr:row>1114</xdr:row>
      <xdr:rowOff>638175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1115</xdr:row>
      <xdr:rowOff>28575</xdr:rowOff>
    </xdr:from>
    <xdr:to>
      <xdr:col>3</xdr:col>
      <xdr:colOff>1552575</xdr:colOff>
      <xdr:row>1115</xdr:row>
      <xdr:rowOff>1266825</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1116</xdr:row>
      <xdr:rowOff>38100</xdr:rowOff>
    </xdr:from>
    <xdr:to>
      <xdr:col>3</xdr:col>
      <xdr:colOff>1552575</xdr:colOff>
      <xdr:row>1117</xdr:row>
      <xdr:rowOff>638175</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1118</xdr:row>
      <xdr:rowOff>28575</xdr:rowOff>
    </xdr:from>
    <xdr:to>
      <xdr:col>3</xdr:col>
      <xdr:colOff>1552575</xdr:colOff>
      <xdr:row>1120</xdr:row>
      <xdr:rowOff>419100</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1121</xdr:row>
      <xdr:rowOff>28575</xdr:rowOff>
    </xdr:from>
    <xdr:to>
      <xdr:col>3</xdr:col>
      <xdr:colOff>1552575</xdr:colOff>
      <xdr:row>1124</xdr:row>
      <xdr:rowOff>209550</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1125</xdr:row>
      <xdr:rowOff>28575</xdr:rowOff>
    </xdr:from>
    <xdr:to>
      <xdr:col>3</xdr:col>
      <xdr:colOff>1552575</xdr:colOff>
      <xdr:row>1125</xdr:row>
      <xdr:rowOff>1266825</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1126</xdr:row>
      <xdr:rowOff>28575</xdr:rowOff>
    </xdr:from>
    <xdr:to>
      <xdr:col>3</xdr:col>
      <xdr:colOff>1552575</xdr:colOff>
      <xdr:row>1126</xdr:row>
      <xdr:rowOff>1266825</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1127</xdr:row>
      <xdr:rowOff>28575</xdr:rowOff>
    </xdr:from>
    <xdr:to>
      <xdr:col>3</xdr:col>
      <xdr:colOff>1552575</xdr:colOff>
      <xdr:row>1129</xdr:row>
      <xdr:rowOff>419100</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1130</xdr:row>
      <xdr:rowOff>28575</xdr:rowOff>
    </xdr:from>
    <xdr:to>
      <xdr:col>3</xdr:col>
      <xdr:colOff>1552575</xdr:colOff>
      <xdr:row>1132</xdr:row>
      <xdr:rowOff>419100</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1133</xdr:row>
      <xdr:rowOff>38100</xdr:rowOff>
    </xdr:from>
    <xdr:to>
      <xdr:col>3</xdr:col>
      <xdr:colOff>1552575</xdr:colOff>
      <xdr:row>1134</xdr:row>
      <xdr:rowOff>638175</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1135</xdr:row>
      <xdr:rowOff>28575</xdr:rowOff>
    </xdr:from>
    <xdr:to>
      <xdr:col>3</xdr:col>
      <xdr:colOff>1552575</xdr:colOff>
      <xdr:row>1138</xdr:row>
      <xdr:rowOff>209550</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1139</xdr:row>
      <xdr:rowOff>28575</xdr:rowOff>
    </xdr:from>
    <xdr:to>
      <xdr:col>3</xdr:col>
      <xdr:colOff>1552575</xdr:colOff>
      <xdr:row>1139</xdr:row>
      <xdr:rowOff>1266825</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1140</xdr:row>
      <xdr:rowOff>38100</xdr:rowOff>
    </xdr:from>
    <xdr:to>
      <xdr:col>3</xdr:col>
      <xdr:colOff>1552575</xdr:colOff>
      <xdr:row>1141</xdr:row>
      <xdr:rowOff>638175</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1142</xdr:row>
      <xdr:rowOff>28575</xdr:rowOff>
    </xdr:from>
    <xdr:to>
      <xdr:col>3</xdr:col>
      <xdr:colOff>1552575</xdr:colOff>
      <xdr:row>1147</xdr:row>
      <xdr:rowOff>209550</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1148</xdr:row>
      <xdr:rowOff>28575</xdr:rowOff>
    </xdr:from>
    <xdr:to>
      <xdr:col>3</xdr:col>
      <xdr:colOff>1552575</xdr:colOff>
      <xdr:row>1151</xdr:row>
      <xdr:rowOff>209550</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1152</xdr:row>
      <xdr:rowOff>28575</xdr:rowOff>
    </xdr:from>
    <xdr:to>
      <xdr:col>3</xdr:col>
      <xdr:colOff>1552575</xdr:colOff>
      <xdr:row>1155</xdr:row>
      <xdr:rowOff>209550</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1156</xdr:row>
      <xdr:rowOff>28575</xdr:rowOff>
    </xdr:from>
    <xdr:to>
      <xdr:col>3</xdr:col>
      <xdr:colOff>1552575</xdr:colOff>
      <xdr:row>1156</xdr:row>
      <xdr:rowOff>1266825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1157</xdr:row>
      <xdr:rowOff>38100</xdr:rowOff>
    </xdr:from>
    <xdr:to>
      <xdr:col>3</xdr:col>
      <xdr:colOff>1552575</xdr:colOff>
      <xdr:row>1158</xdr:row>
      <xdr:rowOff>638175</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1159</xdr:row>
      <xdr:rowOff>28575</xdr:rowOff>
    </xdr:from>
    <xdr:to>
      <xdr:col>3</xdr:col>
      <xdr:colOff>1552575</xdr:colOff>
      <xdr:row>1163</xdr:row>
      <xdr:rowOff>333375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1164</xdr:row>
      <xdr:rowOff>28575</xdr:rowOff>
    </xdr:from>
    <xdr:to>
      <xdr:col>3</xdr:col>
      <xdr:colOff>1552575</xdr:colOff>
      <xdr:row>1164</xdr:row>
      <xdr:rowOff>1266825</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1165</xdr:row>
      <xdr:rowOff>28575</xdr:rowOff>
    </xdr:from>
    <xdr:to>
      <xdr:col>3</xdr:col>
      <xdr:colOff>1552575</xdr:colOff>
      <xdr:row>1165</xdr:row>
      <xdr:rowOff>1266825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1166</xdr:row>
      <xdr:rowOff>28575</xdr:rowOff>
    </xdr:from>
    <xdr:to>
      <xdr:col>3</xdr:col>
      <xdr:colOff>1552575</xdr:colOff>
      <xdr:row>1169</xdr:row>
      <xdr:rowOff>209550</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1170</xdr:row>
      <xdr:rowOff>28575</xdr:rowOff>
    </xdr:from>
    <xdr:to>
      <xdr:col>3</xdr:col>
      <xdr:colOff>1552575</xdr:colOff>
      <xdr:row>1174</xdr:row>
      <xdr:rowOff>333375</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1175</xdr:row>
      <xdr:rowOff>28575</xdr:rowOff>
    </xdr:from>
    <xdr:to>
      <xdr:col>3</xdr:col>
      <xdr:colOff>1552575</xdr:colOff>
      <xdr:row>1178</xdr:row>
      <xdr:rowOff>209550</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1179</xdr:row>
      <xdr:rowOff>28575</xdr:rowOff>
    </xdr:from>
    <xdr:to>
      <xdr:col>3</xdr:col>
      <xdr:colOff>1552575</xdr:colOff>
      <xdr:row>1181</xdr:row>
      <xdr:rowOff>419100</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1182</xdr:row>
      <xdr:rowOff>28575</xdr:rowOff>
    </xdr:from>
    <xdr:to>
      <xdr:col>3</xdr:col>
      <xdr:colOff>1552575</xdr:colOff>
      <xdr:row>1186</xdr:row>
      <xdr:rowOff>333375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1187</xdr:row>
      <xdr:rowOff>38100</xdr:rowOff>
    </xdr:from>
    <xdr:to>
      <xdr:col>3</xdr:col>
      <xdr:colOff>1552575</xdr:colOff>
      <xdr:row>1188</xdr:row>
      <xdr:rowOff>638175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1189</xdr:row>
      <xdr:rowOff>28575</xdr:rowOff>
    </xdr:from>
    <xdr:to>
      <xdr:col>3</xdr:col>
      <xdr:colOff>1552575</xdr:colOff>
      <xdr:row>1191</xdr:row>
      <xdr:rowOff>419100</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1192</xdr:row>
      <xdr:rowOff>38100</xdr:rowOff>
    </xdr:from>
    <xdr:to>
      <xdr:col>3</xdr:col>
      <xdr:colOff>1552575</xdr:colOff>
      <xdr:row>1193</xdr:row>
      <xdr:rowOff>638175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1194</xdr:row>
      <xdr:rowOff>28575</xdr:rowOff>
    </xdr:from>
    <xdr:to>
      <xdr:col>3</xdr:col>
      <xdr:colOff>1552575</xdr:colOff>
      <xdr:row>1194</xdr:row>
      <xdr:rowOff>1266825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1195</xdr:row>
      <xdr:rowOff>28575</xdr:rowOff>
    </xdr:from>
    <xdr:to>
      <xdr:col>3</xdr:col>
      <xdr:colOff>1552575</xdr:colOff>
      <xdr:row>1195</xdr:row>
      <xdr:rowOff>1266825</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1196</xdr:row>
      <xdr:rowOff>28575</xdr:rowOff>
    </xdr:from>
    <xdr:to>
      <xdr:col>3</xdr:col>
      <xdr:colOff>1552575</xdr:colOff>
      <xdr:row>1199</xdr:row>
      <xdr:rowOff>209550</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1200</xdr:row>
      <xdr:rowOff>28575</xdr:rowOff>
    </xdr:from>
    <xdr:to>
      <xdr:col>3</xdr:col>
      <xdr:colOff>1552575</xdr:colOff>
      <xdr:row>1206</xdr:row>
      <xdr:rowOff>171450</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1207</xdr:row>
      <xdr:rowOff>28575</xdr:rowOff>
    </xdr:from>
    <xdr:to>
      <xdr:col>3</xdr:col>
      <xdr:colOff>1552575</xdr:colOff>
      <xdr:row>1210</xdr:row>
      <xdr:rowOff>209550</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1211</xdr:row>
      <xdr:rowOff>28575</xdr:rowOff>
    </xdr:from>
    <xdr:to>
      <xdr:col>3</xdr:col>
      <xdr:colOff>1552575</xdr:colOff>
      <xdr:row>1218</xdr:row>
      <xdr:rowOff>152400</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1219</xdr:row>
      <xdr:rowOff>28575</xdr:rowOff>
    </xdr:from>
    <xdr:to>
      <xdr:col>3</xdr:col>
      <xdr:colOff>1552575</xdr:colOff>
      <xdr:row>1224</xdr:row>
      <xdr:rowOff>209550</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1225</xdr:row>
      <xdr:rowOff>28575</xdr:rowOff>
    </xdr:from>
    <xdr:to>
      <xdr:col>3</xdr:col>
      <xdr:colOff>1552575</xdr:colOff>
      <xdr:row>1233</xdr:row>
      <xdr:rowOff>133350</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1234</xdr:row>
      <xdr:rowOff>28575</xdr:rowOff>
    </xdr:from>
    <xdr:to>
      <xdr:col>3</xdr:col>
      <xdr:colOff>1552575</xdr:colOff>
      <xdr:row>1242</xdr:row>
      <xdr:rowOff>133350</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1244</xdr:row>
      <xdr:rowOff>28575</xdr:rowOff>
    </xdr:from>
    <xdr:to>
      <xdr:col>3</xdr:col>
      <xdr:colOff>1552575</xdr:colOff>
      <xdr:row>1244</xdr:row>
      <xdr:rowOff>1266825</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1245</xdr:row>
      <xdr:rowOff>28575</xdr:rowOff>
    </xdr:from>
    <xdr:to>
      <xdr:col>3</xdr:col>
      <xdr:colOff>1552575</xdr:colOff>
      <xdr:row>1247</xdr:row>
      <xdr:rowOff>419100</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1248</xdr:row>
      <xdr:rowOff>38100</xdr:rowOff>
    </xdr:from>
    <xdr:to>
      <xdr:col>3</xdr:col>
      <xdr:colOff>1552575</xdr:colOff>
      <xdr:row>1249</xdr:row>
      <xdr:rowOff>638175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1250</xdr:row>
      <xdr:rowOff>28575</xdr:rowOff>
    </xdr:from>
    <xdr:to>
      <xdr:col>3</xdr:col>
      <xdr:colOff>1552575</xdr:colOff>
      <xdr:row>1253</xdr:row>
      <xdr:rowOff>209550</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1254</xdr:row>
      <xdr:rowOff>28575</xdr:rowOff>
    </xdr:from>
    <xdr:to>
      <xdr:col>3</xdr:col>
      <xdr:colOff>1552575</xdr:colOff>
      <xdr:row>1254</xdr:row>
      <xdr:rowOff>1266825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1255</xdr:row>
      <xdr:rowOff>28575</xdr:rowOff>
    </xdr:from>
    <xdr:to>
      <xdr:col>3</xdr:col>
      <xdr:colOff>1552575</xdr:colOff>
      <xdr:row>1257</xdr:row>
      <xdr:rowOff>419100</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1258</xdr:row>
      <xdr:rowOff>28575</xdr:rowOff>
    </xdr:from>
    <xdr:to>
      <xdr:col>3</xdr:col>
      <xdr:colOff>1552575</xdr:colOff>
      <xdr:row>1262</xdr:row>
      <xdr:rowOff>333375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1263</xdr:row>
      <xdr:rowOff>38100</xdr:rowOff>
    </xdr:from>
    <xdr:to>
      <xdr:col>3</xdr:col>
      <xdr:colOff>1552575</xdr:colOff>
      <xdr:row>1264</xdr:row>
      <xdr:rowOff>638175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1265</xdr:row>
      <xdr:rowOff>28575</xdr:rowOff>
    </xdr:from>
    <xdr:to>
      <xdr:col>3</xdr:col>
      <xdr:colOff>1552575</xdr:colOff>
      <xdr:row>1267</xdr:row>
      <xdr:rowOff>419100</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1268</xdr:row>
      <xdr:rowOff>28575</xdr:rowOff>
    </xdr:from>
    <xdr:to>
      <xdr:col>3</xdr:col>
      <xdr:colOff>1552575</xdr:colOff>
      <xdr:row>1268</xdr:row>
      <xdr:rowOff>1266825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1269</xdr:row>
      <xdr:rowOff>28575</xdr:rowOff>
    </xdr:from>
    <xdr:to>
      <xdr:col>3</xdr:col>
      <xdr:colOff>1552575</xdr:colOff>
      <xdr:row>1271</xdr:row>
      <xdr:rowOff>419100</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1272</xdr:row>
      <xdr:rowOff>28575</xdr:rowOff>
    </xdr:from>
    <xdr:to>
      <xdr:col>3</xdr:col>
      <xdr:colOff>1552575</xdr:colOff>
      <xdr:row>1275</xdr:row>
      <xdr:rowOff>209550</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1276</xdr:row>
      <xdr:rowOff>28575</xdr:rowOff>
    </xdr:from>
    <xdr:to>
      <xdr:col>3</xdr:col>
      <xdr:colOff>1552575</xdr:colOff>
      <xdr:row>1276</xdr:row>
      <xdr:rowOff>1266825</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1277</xdr:row>
      <xdr:rowOff>28575</xdr:rowOff>
    </xdr:from>
    <xdr:to>
      <xdr:col>3</xdr:col>
      <xdr:colOff>1552575</xdr:colOff>
      <xdr:row>1277</xdr:row>
      <xdr:rowOff>1266825</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1278</xdr:row>
      <xdr:rowOff>28575</xdr:rowOff>
    </xdr:from>
    <xdr:to>
      <xdr:col>3</xdr:col>
      <xdr:colOff>1552575</xdr:colOff>
      <xdr:row>1278</xdr:row>
      <xdr:rowOff>1266825</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1279</xdr:row>
      <xdr:rowOff>28575</xdr:rowOff>
    </xdr:from>
    <xdr:to>
      <xdr:col>3</xdr:col>
      <xdr:colOff>1552575</xdr:colOff>
      <xdr:row>1279</xdr:row>
      <xdr:rowOff>1266825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1280</xdr:row>
      <xdr:rowOff>28575</xdr:rowOff>
    </xdr:from>
    <xdr:to>
      <xdr:col>3</xdr:col>
      <xdr:colOff>1552575</xdr:colOff>
      <xdr:row>1280</xdr:row>
      <xdr:rowOff>1266825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1281</xdr:row>
      <xdr:rowOff>28575</xdr:rowOff>
    </xdr:from>
    <xdr:to>
      <xdr:col>3</xdr:col>
      <xdr:colOff>1552575</xdr:colOff>
      <xdr:row>1286</xdr:row>
      <xdr:rowOff>209550</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1287</xdr:row>
      <xdr:rowOff>38100</xdr:rowOff>
    </xdr:from>
    <xdr:to>
      <xdr:col>3</xdr:col>
      <xdr:colOff>1552575</xdr:colOff>
      <xdr:row>1288</xdr:row>
      <xdr:rowOff>638175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1289</xdr:row>
      <xdr:rowOff>28575</xdr:rowOff>
    </xdr:from>
    <xdr:to>
      <xdr:col>3</xdr:col>
      <xdr:colOff>1552575</xdr:colOff>
      <xdr:row>1291</xdr:row>
      <xdr:rowOff>419100</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1292</xdr:row>
      <xdr:rowOff>38100</xdr:rowOff>
    </xdr:from>
    <xdr:to>
      <xdr:col>3</xdr:col>
      <xdr:colOff>1552575</xdr:colOff>
      <xdr:row>1293</xdr:row>
      <xdr:rowOff>638175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1294</xdr:row>
      <xdr:rowOff>28575</xdr:rowOff>
    </xdr:from>
    <xdr:to>
      <xdr:col>3</xdr:col>
      <xdr:colOff>1552575</xdr:colOff>
      <xdr:row>1298</xdr:row>
      <xdr:rowOff>333375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1299</xdr:row>
      <xdr:rowOff>28575</xdr:rowOff>
    </xdr:from>
    <xdr:to>
      <xdr:col>3</xdr:col>
      <xdr:colOff>1552575</xdr:colOff>
      <xdr:row>1299</xdr:row>
      <xdr:rowOff>1266825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1300</xdr:row>
      <xdr:rowOff>28575</xdr:rowOff>
    </xdr:from>
    <xdr:to>
      <xdr:col>3</xdr:col>
      <xdr:colOff>1552575</xdr:colOff>
      <xdr:row>1305</xdr:row>
      <xdr:rowOff>209550</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1306</xdr:row>
      <xdr:rowOff>28575</xdr:rowOff>
    </xdr:from>
    <xdr:to>
      <xdr:col>3</xdr:col>
      <xdr:colOff>1552575</xdr:colOff>
      <xdr:row>1308</xdr:row>
      <xdr:rowOff>419100</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1309</xdr:row>
      <xdr:rowOff>38100</xdr:rowOff>
    </xdr:from>
    <xdr:to>
      <xdr:col>3</xdr:col>
      <xdr:colOff>1552575</xdr:colOff>
      <xdr:row>1310</xdr:row>
      <xdr:rowOff>638175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1311</xdr:row>
      <xdr:rowOff>28575</xdr:rowOff>
    </xdr:from>
    <xdr:to>
      <xdr:col>3</xdr:col>
      <xdr:colOff>1552575</xdr:colOff>
      <xdr:row>1317</xdr:row>
      <xdr:rowOff>171450</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1318</xdr:row>
      <xdr:rowOff>28575</xdr:rowOff>
    </xdr:from>
    <xdr:to>
      <xdr:col>3</xdr:col>
      <xdr:colOff>1552575</xdr:colOff>
      <xdr:row>1320</xdr:row>
      <xdr:rowOff>419100</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1321</xdr:row>
      <xdr:rowOff>28575</xdr:rowOff>
    </xdr:from>
    <xdr:to>
      <xdr:col>3</xdr:col>
      <xdr:colOff>1552575</xdr:colOff>
      <xdr:row>1321</xdr:row>
      <xdr:rowOff>1266825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1322</xdr:row>
      <xdr:rowOff>28575</xdr:rowOff>
    </xdr:from>
    <xdr:to>
      <xdr:col>3</xdr:col>
      <xdr:colOff>1552575</xdr:colOff>
      <xdr:row>1322</xdr:row>
      <xdr:rowOff>1266825</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1323</xdr:row>
      <xdr:rowOff>38100</xdr:rowOff>
    </xdr:from>
    <xdr:to>
      <xdr:col>3</xdr:col>
      <xdr:colOff>1552575</xdr:colOff>
      <xdr:row>1324</xdr:row>
      <xdr:rowOff>638175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1325</xdr:row>
      <xdr:rowOff>28575</xdr:rowOff>
    </xdr:from>
    <xdr:to>
      <xdr:col>3</xdr:col>
      <xdr:colOff>1552575</xdr:colOff>
      <xdr:row>1325</xdr:row>
      <xdr:rowOff>1266825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1326</xdr:row>
      <xdr:rowOff>28575</xdr:rowOff>
    </xdr:from>
    <xdr:to>
      <xdr:col>3</xdr:col>
      <xdr:colOff>1552575</xdr:colOff>
      <xdr:row>1328</xdr:row>
      <xdr:rowOff>419100</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1329</xdr:row>
      <xdr:rowOff>38100</xdr:rowOff>
    </xdr:from>
    <xdr:to>
      <xdr:col>3</xdr:col>
      <xdr:colOff>1552575</xdr:colOff>
      <xdr:row>1330</xdr:row>
      <xdr:rowOff>638175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1331</xdr:row>
      <xdr:rowOff>28575</xdr:rowOff>
    </xdr:from>
    <xdr:to>
      <xdr:col>3</xdr:col>
      <xdr:colOff>1552575</xdr:colOff>
      <xdr:row>1333</xdr:row>
      <xdr:rowOff>419100</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1334</xdr:row>
      <xdr:rowOff>28575</xdr:rowOff>
    </xdr:from>
    <xdr:to>
      <xdr:col>3</xdr:col>
      <xdr:colOff>1552575</xdr:colOff>
      <xdr:row>1339</xdr:row>
      <xdr:rowOff>209550</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1340</xdr:row>
      <xdr:rowOff>38100</xdr:rowOff>
    </xdr:from>
    <xdr:to>
      <xdr:col>3</xdr:col>
      <xdr:colOff>1552575</xdr:colOff>
      <xdr:row>1341</xdr:row>
      <xdr:rowOff>638175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1342</xdr:row>
      <xdr:rowOff>28575</xdr:rowOff>
    </xdr:from>
    <xdr:to>
      <xdr:col>3</xdr:col>
      <xdr:colOff>1552575</xdr:colOff>
      <xdr:row>1342</xdr:row>
      <xdr:rowOff>1266825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1343</xdr:row>
      <xdr:rowOff>38100</xdr:rowOff>
    </xdr:from>
    <xdr:to>
      <xdr:col>3</xdr:col>
      <xdr:colOff>1552575</xdr:colOff>
      <xdr:row>1344</xdr:row>
      <xdr:rowOff>638175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1345</xdr:row>
      <xdr:rowOff>38100</xdr:rowOff>
    </xdr:from>
    <xdr:to>
      <xdr:col>3</xdr:col>
      <xdr:colOff>1552575</xdr:colOff>
      <xdr:row>1346</xdr:row>
      <xdr:rowOff>638175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1347</xdr:row>
      <xdr:rowOff>28575</xdr:rowOff>
    </xdr:from>
    <xdr:to>
      <xdr:col>3</xdr:col>
      <xdr:colOff>1552575</xdr:colOff>
      <xdr:row>1349</xdr:row>
      <xdr:rowOff>419100</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1350</xdr:row>
      <xdr:rowOff>28575</xdr:rowOff>
    </xdr:from>
    <xdr:to>
      <xdr:col>3</xdr:col>
      <xdr:colOff>1552575</xdr:colOff>
      <xdr:row>1355</xdr:row>
      <xdr:rowOff>209550</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1356</xdr:row>
      <xdr:rowOff>28575</xdr:rowOff>
    </xdr:from>
    <xdr:to>
      <xdr:col>3</xdr:col>
      <xdr:colOff>1552575</xdr:colOff>
      <xdr:row>1358</xdr:row>
      <xdr:rowOff>419100</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1359</xdr:row>
      <xdr:rowOff>28575</xdr:rowOff>
    </xdr:from>
    <xdr:to>
      <xdr:col>3</xdr:col>
      <xdr:colOff>1552575</xdr:colOff>
      <xdr:row>1366</xdr:row>
      <xdr:rowOff>152400</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1367</xdr:row>
      <xdr:rowOff>38100</xdr:rowOff>
    </xdr:from>
    <xdr:to>
      <xdr:col>3</xdr:col>
      <xdr:colOff>1552575</xdr:colOff>
      <xdr:row>1368</xdr:row>
      <xdr:rowOff>638175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1369</xdr:row>
      <xdr:rowOff>38100</xdr:rowOff>
    </xdr:from>
    <xdr:to>
      <xdr:col>3</xdr:col>
      <xdr:colOff>1552575</xdr:colOff>
      <xdr:row>1370</xdr:row>
      <xdr:rowOff>638175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1371</xdr:row>
      <xdr:rowOff>28575</xdr:rowOff>
    </xdr:from>
    <xdr:to>
      <xdr:col>3</xdr:col>
      <xdr:colOff>1552575</xdr:colOff>
      <xdr:row>1371</xdr:row>
      <xdr:rowOff>1266825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1372</xdr:row>
      <xdr:rowOff>28575</xdr:rowOff>
    </xdr:from>
    <xdr:to>
      <xdr:col>3</xdr:col>
      <xdr:colOff>1552575</xdr:colOff>
      <xdr:row>1376</xdr:row>
      <xdr:rowOff>333375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1377</xdr:row>
      <xdr:rowOff>38100</xdr:rowOff>
    </xdr:from>
    <xdr:to>
      <xdr:col>3</xdr:col>
      <xdr:colOff>1552575</xdr:colOff>
      <xdr:row>1378</xdr:row>
      <xdr:rowOff>638175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1379</xdr:row>
      <xdr:rowOff>28575</xdr:rowOff>
    </xdr:from>
    <xdr:to>
      <xdr:col>3</xdr:col>
      <xdr:colOff>1552575</xdr:colOff>
      <xdr:row>1381</xdr:row>
      <xdr:rowOff>419100</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1382</xdr:row>
      <xdr:rowOff>28575</xdr:rowOff>
    </xdr:from>
    <xdr:to>
      <xdr:col>3</xdr:col>
      <xdr:colOff>1552575</xdr:colOff>
      <xdr:row>1388</xdr:row>
      <xdr:rowOff>171450</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1389</xdr:row>
      <xdr:rowOff>28575</xdr:rowOff>
    </xdr:from>
    <xdr:to>
      <xdr:col>3</xdr:col>
      <xdr:colOff>1552575</xdr:colOff>
      <xdr:row>1394</xdr:row>
      <xdr:rowOff>209550</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1395</xdr:row>
      <xdr:rowOff>28575</xdr:rowOff>
    </xdr:from>
    <xdr:to>
      <xdr:col>3</xdr:col>
      <xdr:colOff>1552575</xdr:colOff>
      <xdr:row>1399</xdr:row>
      <xdr:rowOff>333375</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1400</xdr:row>
      <xdr:rowOff>28575</xdr:rowOff>
    </xdr:from>
    <xdr:to>
      <xdr:col>3</xdr:col>
      <xdr:colOff>1552575</xdr:colOff>
      <xdr:row>1403</xdr:row>
      <xdr:rowOff>209550</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1404</xdr:row>
      <xdr:rowOff>28575</xdr:rowOff>
    </xdr:from>
    <xdr:to>
      <xdr:col>3</xdr:col>
      <xdr:colOff>1552575</xdr:colOff>
      <xdr:row>1406</xdr:row>
      <xdr:rowOff>419100</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1407</xdr:row>
      <xdr:rowOff>28575</xdr:rowOff>
    </xdr:from>
    <xdr:to>
      <xdr:col>3</xdr:col>
      <xdr:colOff>1552575</xdr:colOff>
      <xdr:row>1409</xdr:row>
      <xdr:rowOff>419100</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1410</xdr:row>
      <xdr:rowOff>28575</xdr:rowOff>
    </xdr:from>
    <xdr:to>
      <xdr:col>3</xdr:col>
      <xdr:colOff>1552575</xdr:colOff>
      <xdr:row>1413</xdr:row>
      <xdr:rowOff>209550</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1414</xdr:row>
      <xdr:rowOff>38100</xdr:rowOff>
    </xdr:from>
    <xdr:to>
      <xdr:col>3</xdr:col>
      <xdr:colOff>1552575</xdr:colOff>
      <xdr:row>1415</xdr:row>
      <xdr:rowOff>638175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1416</xdr:row>
      <xdr:rowOff>28575</xdr:rowOff>
    </xdr:from>
    <xdr:to>
      <xdr:col>3</xdr:col>
      <xdr:colOff>1552575</xdr:colOff>
      <xdr:row>1418</xdr:row>
      <xdr:rowOff>419100</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1419</xdr:row>
      <xdr:rowOff>28575</xdr:rowOff>
    </xdr:from>
    <xdr:to>
      <xdr:col>3</xdr:col>
      <xdr:colOff>1552575</xdr:colOff>
      <xdr:row>1421</xdr:row>
      <xdr:rowOff>419100</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1422</xdr:row>
      <xdr:rowOff>28575</xdr:rowOff>
    </xdr:from>
    <xdr:to>
      <xdr:col>3</xdr:col>
      <xdr:colOff>1552575</xdr:colOff>
      <xdr:row>1424</xdr:row>
      <xdr:rowOff>419100</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1425</xdr:row>
      <xdr:rowOff>28575</xdr:rowOff>
    </xdr:from>
    <xdr:to>
      <xdr:col>3</xdr:col>
      <xdr:colOff>1552575</xdr:colOff>
      <xdr:row>1425</xdr:row>
      <xdr:rowOff>1266825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1426</xdr:row>
      <xdr:rowOff>28575</xdr:rowOff>
    </xdr:from>
    <xdr:to>
      <xdr:col>3</xdr:col>
      <xdr:colOff>1552575</xdr:colOff>
      <xdr:row>1430</xdr:row>
      <xdr:rowOff>333375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1431</xdr:row>
      <xdr:rowOff>28575</xdr:rowOff>
    </xdr:from>
    <xdr:to>
      <xdr:col>3</xdr:col>
      <xdr:colOff>1552575</xdr:colOff>
      <xdr:row>1435</xdr:row>
      <xdr:rowOff>333375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1436</xdr:row>
      <xdr:rowOff>28575</xdr:rowOff>
    </xdr:from>
    <xdr:to>
      <xdr:col>3</xdr:col>
      <xdr:colOff>1552575</xdr:colOff>
      <xdr:row>1439</xdr:row>
      <xdr:rowOff>209550</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1440</xdr:row>
      <xdr:rowOff>28575</xdr:rowOff>
    </xdr:from>
    <xdr:to>
      <xdr:col>3</xdr:col>
      <xdr:colOff>1552575</xdr:colOff>
      <xdr:row>1445</xdr:row>
      <xdr:rowOff>209550</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1446</xdr:row>
      <xdr:rowOff>28575</xdr:rowOff>
    </xdr:from>
    <xdr:to>
      <xdr:col>3</xdr:col>
      <xdr:colOff>1552575</xdr:colOff>
      <xdr:row>1449</xdr:row>
      <xdr:rowOff>209550</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1450</xdr:row>
      <xdr:rowOff>38100</xdr:rowOff>
    </xdr:from>
    <xdr:to>
      <xdr:col>3</xdr:col>
      <xdr:colOff>1552575</xdr:colOff>
      <xdr:row>1451</xdr:row>
      <xdr:rowOff>638175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1452</xdr:row>
      <xdr:rowOff>28575</xdr:rowOff>
    </xdr:from>
    <xdr:to>
      <xdr:col>3</xdr:col>
      <xdr:colOff>1552575</xdr:colOff>
      <xdr:row>1452</xdr:row>
      <xdr:rowOff>1266825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1453</xdr:row>
      <xdr:rowOff>28575</xdr:rowOff>
    </xdr:from>
    <xdr:to>
      <xdr:col>3</xdr:col>
      <xdr:colOff>1552575</xdr:colOff>
      <xdr:row>1461</xdr:row>
      <xdr:rowOff>133350</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1463</xdr:row>
      <xdr:rowOff>28575</xdr:rowOff>
    </xdr:from>
    <xdr:to>
      <xdr:col>3</xdr:col>
      <xdr:colOff>1552575</xdr:colOff>
      <xdr:row>1466</xdr:row>
      <xdr:rowOff>209550</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1467</xdr:row>
      <xdr:rowOff>28575</xdr:rowOff>
    </xdr:from>
    <xdr:to>
      <xdr:col>3</xdr:col>
      <xdr:colOff>1552575</xdr:colOff>
      <xdr:row>1467</xdr:row>
      <xdr:rowOff>1266825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1468</xdr:row>
      <xdr:rowOff>38100</xdr:rowOff>
    </xdr:from>
    <xdr:to>
      <xdr:col>3</xdr:col>
      <xdr:colOff>1552575</xdr:colOff>
      <xdr:row>1469</xdr:row>
      <xdr:rowOff>638175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1470</xdr:row>
      <xdr:rowOff>28575</xdr:rowOff>
    </xdr:from>
    <xdr:to>
      <xdr:col>3</xdr:col>
      <xdr:colOff>1552575</xdr:colOff>
      <xdr:row>1476</xdr:row>
      <xdr:rowOff>171450</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1477</xdr:row>
      <xdr:rowOff>28575</xdr:rowOff>
    </xdr:from>
    <xdr:to>
      <xdr:col>3</xdr:col>
      <xdr:colOff>1552575</xdr:colOff>
      <xdr:row>1480</xdr:row>
      <xdr:rowOff>209550</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1481</xdr:row>
      <xdr:rowOff>28575</xdr:rowOff>
    </xdr:from>
    <xdr:to>
      <xdr:col>3</xdr:col>
      <xdr:colOff>1552575</xdr:colOff>
      <xdr:row>1488</xdr:row>
      <xdr:rowOff>152400</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1489</xdr:row>
      <xdr:rowOff>28575</xdr:rowOff>
    </xdr:from>
    <xdr:to>
      <xdr:col>3</xdr:col>
      <xdr:colOff>1552575</xdr:colOff>
      <xdr:row>1489</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1490</xdr:row>
      <xdr:rowOff>28575</xdr:rowOff>
    </xdr:from>
    <xdr:to>
      <xdr:col>3</xdr:col>
      <xdr:colOff>1552575</xdr:colOff>
      <xdr:row>1490</xdr:row>
      <xdr:rowOff>1266825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1491</xdr:row>
      <xdr:rowOff>28575</xdr:rowOff>
    </xdr:from>
    <xdr:to>
      <xdr:col>3</xdr:col>
      <xdr:colOff>1552575</xdr:colOff>
      <xdr:row>1491</xdr:row>
      <xdr:rowOff>1266825</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1492</xdr:row>
      <xdr:rowOff>28575</xdr:rowOff>
    </xdr:from>
    <xdr:to>
      <xdr:col>3</xdr:col>
      <xdr:colOff>1552575</xdr:colOff>
      <xdr:row>1496</xdr:row>
      <xdr:rowOff>333375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1497</xdr:row>
      <xdr:rowOff>28575</xdr:rowOff>
    </xdr:from>
    <xdr:to>
      <xdr:col>3</xdr:col>
      <xdr:colOff>1552575</xdr:colOff>
      <xdr:row>1497</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1498</xdr:row>
      <xdr:rowOff>28575</xdr:rowOff>
    </xdr:from>
    <xdr:to>
      <xdr:col>3</xdr:col>
      <xdr:colOff>1552575</xdr:colOff>
      <xdr:row>1498</xdr:row>
      <xdr:rowOff>1266825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1499</xdr:row>
      <xdr:rowOff>28575</xdr:rowOff>
    </xdr:from>
    <xdr:to>
      <xdr:col>3</xdr:col>
      <xdr:colOff>1552575</xdr:colOff>
      <xdr:row>1507</xdr:row>
      <xdr:rowOff>133350</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1508</xdr:row>
      <xdr:rowOff>28575</xdr:rowOff>
    </xdr:from>
    <xdr:to>
      <xdr:col>3</xdr:col>
      <xdr:colOff>1552575</xdr:colOff>
      <xdr:row>1516</xdr:row>
      <xdr:rowOff>133350</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1517</xdr:row>
      <xdr:rowOff>28575</xdr:rowOff>
    </xdr:from>
    <xdr:to>
      <xdr:col>3</xdr:col>
      <xdr:colOff>1552575</xdr:colOff>
      <xdr:row>1525</xdr:row>
      <xdr:rowOff>133350</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1528</xdr:row>
      <xdr:rowOff>38100</xdr:rowOff>
    </xdr:from>
    <xdr:to>
      <xdr:col>3</xdr:col>
      <xdr:colOff>1552575</xdr:colOff>
      <xdr:row>1529</xdr:row>
      <xdr:rowOff>638175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1530</xdr:row>
      <xdr:rowOff>28575</xdr:rowOff>
    </xdr:from>
    <xdr:to>
      <xdr:col>3</xdr:col>
      <xdr:colOff>1552575</xdr:colOff>
      <xdr:row>1536</xdr:row>
      <xdr:rowOff>171450</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1537</xdr:row>
      <xdr:rowOff>38100</xdr:rowOff>
    </xdr:from>
    <xdr:to>
      <xdr:col>3</xdr:col>
      <xdr:colOff>1552575</xdr:colOff>
      <xdr:row>1538</xdr:row>
      <xdr:rowOff>638175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1539</xdr:row>
      <xdr:rowOff>28575</xdr:rowOff>
    </xdr:from>
    <xdr:to>
      <xdr:col>3</xdr:col>
      <xdr:colOff>1552575</xdr:colOff>
      <xdr:row>1541</xdr:row>
      <xdr:rowOff>419100</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1542</xdr:row>
      <xdr:rowOff>38100</xdr:rowOff>
    </xdr:from>
    <xdr:to>
      <xdr:col>3</xdr:col>
      <xdr:colOff>1552575</xdr:colOff>
      <xdr:row>1543</xdr:row>
      <xdr:rowOff>638175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1544</xdr:row>
      <xdr:rowOff>38100</xdr:rowOff>
    </xdr:from>
    <xdr:to>
      <xdr:col>3</xdr:col>
      <xdr:colOff>1552575</xdr:colOff>
      <xdr:row>1545</xdr:row>
      <xdr:rowOff>638175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1546</xdr:row>
      <xdr:rowOff>28575</xdr:rowOff>
    </xdr:from>
    <xdr:to>
      <xdr:col>3</xdr:col>
      <xdr:colOff>1552575</xdr:colOff>
      <xdr:row>1549</xdr:row>
      <xdr:rowOff>209550</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1550</xdr:row>
      <xdr:rowOff>38100</xdr:rowOff>
    </xdr:from>
    <xdr:to>
      <xdr:col>3</xdr:col>
      <xdr:colOff>1552575</xdr:colOff>
      <xdr:row>1551</xdr:row>
      <xdr:rowOff>638175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1552</xdr:row>
      <xdr:rowOff>28575</xdr:rowOff>
    </xdr:from>
    <xdr:to>
      <xdr:col>3</xdr:col>
      <xdr:colOff>1552575</xdr:colOff>
      <xdr:row>1552</xdr:row>
      <xdr:rowOff>1266825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1553</xdr:row>
      <xdr:rowOff>28575</xdr:rowOff>
    </xdr:from>
    <xdr:to>
      <xdr:col>3</xdr:col>
      <xdr:colOff>1552575</xdr:colOff>
      <xdr:row>1560</xdr:row>
      <xdr:rowOff>152400</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1561</xdr:row>
      <xdr:rowOff>28575</xdr:rowOff>
    </xdr:from>
    <xdr:to>
      <xdr:col>3</xdr:col>
      <xdr:colOff>1552575</xdr:colOff>
      <xdr:row>1561</xdr:row>
      <xdr:rowOff>1266825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1562</xdr:row>
      <xdr:rowOff>28575</xdr:rowOff>
    </xdr:from>
    <xdr:to>
      <xdr:col>3</xdr:col>
      <xdr:colOff>1552575</xdr:colOff>
      <xdr:row>1566</xdr:row>
      <xdr:rowOff>333375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1567</xdr:row>
      <xdr:rowOff>28575</xdr:rowOff>
    </xdr:from>
    <xdr:to>
      <xdr:col>3</xdr:col>
      <xdr:colOff>1552575</xdr:colOff>
      <xdr:row>1569</xdr:row>
      <xdr:rowOff>419100</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1570</xdr:row>
      <xdr:rowOff>28575</xdr:rowOff>
    </xdr:from>
    <xdr:to>
      <xdr:col>3</xdr:col>
      <xdr:colOff>1552575</xdr:colOff>
      <xdr:row>1570</xdr:row>
      <xdr:rowOff>1266825</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1571</xdr:row>
      <xdr:rowOff>28575</xdr:rowOff>
    </xdr:from>
    <xdr:to>
      <xdr:col>3</xdr:col>
      <xdr:colOff>1552575</xdr:colOff>
      <xdr:row>1571</xdr:row>
      <xdr:rowOff>1266825</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1572</xdr:row>
      <xdr:rowOff>28575</xdr:rowOff>
    </xdr:from>
    <xdr:to>
      <xdr:col>3</xdr:col>
      <xdr:colOff>1552575</xdr:colOff>
      <xdr:row>1572</xdr:row>
      <xdr:rowOff>1266825</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1573</xdr:row>
      <xdr:rowOff>28575</xdr:rowOff>
    </xdr:from>
    <xdr:to>
      <xdr:col>3</xdr:col>
      <xdr:colOff>1552575</xdr:colOff>
      <xdr:row>1573</xdr:row>
      <xdr:rowOff>1266825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1574</xdr:row>
      <xdr:rowOff>28575</xdr:rowOff>
    </xdr:from>
    <xdr:to>
      <xdr:col>3</xdr:col>
      <xdr:colOff>1552575</xdr:colOff>
      <xdr:row>1574</xdr:row>
      <xdr:rowOff>1266825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1575</xdr:row>
      <xdr:rowOff>28575</xdr:rowOff>
    </xdr:from>
    <xdr:to>
      <xdr:col>3</xdr:col>
      <xdr:colOff>1552575</xdr:colOff>
      <xdr:row>1575</xdr:row>
      <xdr:rowOff>1266825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1576</xdr:row>
      <xdr:rowOff>28575</xdr:rowOff>
    </xdr:from>
    <xdr:to>
      <xdr:col>3</xdr:col>
      <xdr:colOff>1552575</xdr:colOff>
      <xdr:row>1576</xdr:row>
      <xdr:rowOff>1266825</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1577</xdr:row>
      <xdr:rowOff>28575</xdr:rowOff>
    </xdr:from>
    <xdr:to>
      <xdr:col>3</xdr:col>
      <xdr:colOff>1552575</xdr:colOff>
      <xdr:row>1577</xdr:row>
      <xdr:rowOff>1266825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1578</xdr:row>
      <xdr:rowOff>28575</xdr:rowOff>
    </xdr:from>
    <xdr:to>
      <xdr:col>3</xdr:col>
      <xdr:colOff>1552575</xdr:colOff>
      <xdr:row>1578</xdr:row>
      <xdr:rowOff>1266825</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1579</xdr:row>
      <xdr:rowOff>28575</xdr:rowOff>
    </xdr:from>
    <xdr:to>
      <xdr:col>3</xdr:col>
      <xdr:colOff>1552575</xdr:colOff>
      <xdr:row>1579</xdr:row>
      <xdr:rowOff>1266825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1580</xdr:row>
      <xdr:rowOff>28575</xdr:rowOff>
    </xdr:from>
    <xdr:to>
      <xdr:col>3</xdr:col>
      <xdr:colOff>1552575</xdr:colOff>
      <xdr:row>1580</xdr:row>
      <xdr:rowOff>1266825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1581</xdr:row>
      <xdr:rowOff>28575</xdr:rowOff>
    </xdr:from>
    <xdr:to>
      <xdr:col>3</xdr:col>
      <xdr:colOff>1552575</xdr:colOff>
      <xdr:row>1581</xdr:row>
      <xdr:rowOff>1266825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1582</xdr:row>
      <xdr:rowOff>28575</xdr:rowOff>
    </xdr:from>
    <xdr:to>
      <xdr:col>3</xdr:col>
      <xdr:colOff>1552575</xdr:colOff>
      <xdr:row>1582</xdr:row>
      <xdr:rowOff>1266825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1583</xdr:row>
      <xdr:rowOff>28575</xdr:rowOff>
    </xdr:from>
    <xdr:to>
      <xdr:col>3</xdr:col>
      <xdr:colOff>1552575</xdr:colOff>
      <xdr:row>1583</xdr:row>
      <xdr:rowOff>1266825</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1584</xdr:row>
      <xdr:rowOff>38100</xdr:rowOff>
    </xdr:from>
    <xdr:to>
      <xdr:col>3</xdr:col>
      <xdr:colOff>1552575</xdr:colOff>
      <xdr:row>1585</xdr:row>
      <xdr:rowOff>638175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1586</xdr:row>
      <xdr:rowOff>38100</xdr:rowOff>
    </xdr:from>
    <xdr:to>
      <xdr:col>3</xdr:col>
      <xdr:colOff>1552575</xdr:colOff>
      <xdr:row>1587</xdr:row>
      <xdr:rowOff>638175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1588</xdr:row>
      <xdr:rowOff>28575</xdr:rowOff>
    </xdr:from>
    <xdr:to>
      <xdr:col>3</xdr:col>
      <xdr:colOff>1552575</xdr:colOff>
      <xdr:row>1588</xdr:row>
      <xdr:rowOff>1266825</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1589</xdr:row>
      <xdr:rowOff>28575</xdr:rowOff>
    </xdr:from>
    <xdr:to>
      <xdr:col>3</xdr:col>
      <xdr:colOff>1552575</xdr:colOff>
      <xdr:row>1591</xdr:row>
      <xdr:rowOff>419100</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1592</xdr:row>
      <xdr:rowOff>28575</xdr:rowOff>
    </xdr:from>
    <xdr:to>
      <xdr:col>3</xdr:col>
      <xdr:colOff>1552575</xdr:colOff>
      <xdr:row>1592</xdr:row>
      <xdr:rowOff>1266825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1593</xdr:row>
      <xdr:rowOff>28575</xdr:rowOff>
    </xdr:from>
    <xdr:to>
      <xdr:col>3</xdr:col>
      <xdr:colOff>1552575</xdr:colOff>
      <xdr:row>1593</xdr:row>
      <xdr:rowOff>1266825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1594</xdr:row>
      <xdr:rowOff>38100</xdr:rowOff>
    </xdr:from>
    <xdr:to>
      <xdr:col>3</xdr:col>
      <xdr:colOff>1552575</xdr:colOff>
      <xdr:row>1595</xdr:row>
      <xdr:rowOff>638175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1596</xdr:row>
      <xdr:rowOff>28575</xdr:rowOff>
    </xdr:from>
    <xdr:to>
      <xdr:col>3</xdr:col>
      <xdr:colOff>1552575</xdr:colOff>
      <xdr:row>1599</xdr:row>
      <xdr:rowOff>209550</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1600</xdr:row>
      <xdr:rowOff>28575</xdr:rowOff>
    </xdr:from>
    <xdr:to>
      <xdr:col>3</xdr:col>
      <xdr:colOff>1552575</xdr:colOff>
      <xdr:row>1607</xdr:row>
      <xdr:rowOff>152400</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1608</xdr:row>
      <xdr:rowOff>28575</xdr:rowOff>
    </xdr:from>
    <xdr:to>
      <xdr:col>3</xdr:col>
      <xdr:colOff>1552575</xdr:colOff>
      <xdr:row>1608</xdr:row>
      <xdr:rowOff>1266825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1609</xdr:row>
      <xdr:rowOff>28575</xdr:rowOff>
    </xdr:from>
    <xdr:to>
      <xdr:col>3</xdr:col>
      <xdr:colOff>1552575</xdr:colOff>
      <xdr:row>1609</xdr:row>
      <xdr:rowOff>1266825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1610</xdr:row>
      <xdr:rowOff>28575</xdr:rowOff>
    </xdr:from>
    <xdr:to>
      <xdr:col>3</xdr:col>
      <xdr:colOff>1552575</xdr:colOff>
      <xdr:row>1610</xdr:row>
      <xdr:rowOff>1266825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1611</xdr:row>
      <xdr:rowOff>28575</xdr:rowOff>
    </xdr:from>
    <xdr:to>
      <xdr:col>3</xdr:col>
      <xdr:colOff>1552575</xdr:colOff>
      <xdr:row>1611</xdr:row>
      <xdr:rowOff>1266825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1612</xdr:row>
      <xdr:rowOff>38100</xdr:rowOff>
    </xdr:from>
    <xdr:to>
      <xdr:col>3</xdr:col>
      <xdr:colOff>1552575</xdr:colOff>
      <xdr:row>1613</xdr:row>
      <xdr:rowOff>638175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1614</xdr:row>
      <xdr:rowOff>28575</xdr:rowOff>
    </xdr:from>
    <xdr:to>
      <xdr:col>3</xdr:col>
      <xdr:colOff>1552575</xdr:colOff>
      <xdr:row>1614</xdr:row>
      <xdr:rowOff>1266825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1615</xdr:row>
      <xdr:rowOff>28575</xdr:rowOff>
    </xdr:from>
    <xdr:to>
      <xdr:col>3</xdr:col>
      <xdr:colOff>1552575</xdr:colOff>
      <xdr:row>1615</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1616</xdr:row>
      <xdr:rowOff>28575</xdr:rowOff>
    </xdr:from>
    <xdr:to>
      <xdr:col>3</xdr:col>
      <xdr:colOff>1552575</xdr:colOff>
      <xdr:row>1618</xdr:row>
      <xdr:rowOff>419100</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1619</xdr:row>
      <xdr:rowOff>28575</xdr:rowOff>
    </xdr:from>
    <xdr:to>
      <xdr:col>3</xdr:col>
      <xdr:colOff>1552575</xdr:colOff>
      <xdr:row>1619</xdr:row>
      <xdr:rowOff>1266825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1620</xdr:row>
      <xdr:rowOff>28575</xdr:rowOff>
    </xdr:from>
    <xdr:to>
      <xdr:col>3</xdr:col>
      <xdr:colOff>1552575</xdr:colOff>
      <xdr:row>1623</xdr:row>
      <xdr:rowOff>209550</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1624</xdr:row>
      <xdr:rowOff>28575</xdr:rowOff>
    </xdr:from>
    <xdr:to>
      <xdr:col>3</xdr:col>
      <xdr:colOff>1552575</xdr:colOff>
      <xdr:row>1627</xdr:row>
      <xdr:rowOff>209550</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1628</xdr:row>
      <xdr:rowOff>38100</xdr:rowOff>
    </xdr:from>
    <xdr:to>
      <xdr:col>3</xdr:col>
      <xdr:colOff>1552575</xdr:colOff>
      <xdr:row>1629</xdr:row>
      <xdr:rowOff>638175</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1630</xdr:row>
      <xdr:rowOff>28575</xdr:rowOff>
    </xdr:from>
    <xdr:to>
      <xdr:col>3</xdr:col>
      <xdr:colOff>1552575</xdr:colOff>
      <xdr:row>1630</xdr:row>
      <xdr:rowOff>1266825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1631</xdr:row>
      <xdr:rowOff>28575</xdr:rowOff>
    </xdr:from>
    <xdr:to>
      <xdr:col>3</xdr:col>
      <xdr:colOff>1552575</xdr:colOff>
      <xdr:row>1635</xdr:row>
      <xdr:rowOff>333375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1636</xdr:row>
      <xdr:rowOff>28575</xdr:rowOff>
    </xdr:from>
    <xdr:to>
      <xdr:col>3</xdr:col>
      <xdr:colOff>1552575</xdr:colOff>
      <xdr:row>1644</xdr:row>
      <xdr:rowOff>133350</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1648</xdr:row>
      <xdr:rowOff>28575</xdr:rowOff>
    </xdr:from>
    <xdr:to>
      <xdr:col>3</xdr:col>
      <xdr:colOff>1552575</xdr:colOff>
      <xdr:row>1650</xdr:row>
      <xdr:rowOff>419100</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1651</xdr:row>
      <xdr:rowOff>28575</xdr:rowOff>
    </xdr:from>
    <xdr:to>
      <xdr:col>3</xdr:col>
      <xdr:colOff>1552575</xdr:colOff>
      <xdr:row>1655</xdr:row>
      <xdr:rowOff>333375</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1656</xdr:row>
      <xdr:rowOff>28575</xdr:rowOff>
    </xdr:from>
    <xdr:to>
      <xdr:col>3</xdr:col>
      <xdr:colOff>1552575</xdr:colOff>
      <xdr:row>1664</xdr:row>
      <xdr:rowOff>133350</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1668</xdr:row>
      <xdr:rowOff>28575</xdr:rowOff>
    </xdr:from>
    <xdr:to>
      <xdr:col>3</xdr:col>
      <xdr:colOff>1552575</xdr:colOff>
      <xdr:row>1668</xdr:row>
      <xdr:rowOff>1266825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1669</xdr:row>
      <xdr:rowOff>28575</xdr:rowOff>
    </xdr:from>
    <xdr:to>
      <xdr:col>3</xdr:col>
      <xdr:colOff>1552575</xdr:colOff>
      <xdr:row>1669</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1670</xdr:row>
      <xdr:rowOff>28575</xdr:rowOff>
    </xdr:from>
    <xdr:to>
      <xdr:col>3</xdr:col>
      <xdr:colOff>1552575</xdr:colOff>
      <xdr:row>1674</xdr:row>
      <xdr:rowOff>333375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1675</xdr:row>
      <xdr:rowOff>28575</xdr:rowOff>
    </xdr:from>
    <xdr:to>
      <xdr:col>3</xdr:col>
      <xdr:colOff>1552575</xdr:colOff>
      <xdr:row>1675</xdr:row>
      <xdr:rowOff>1266825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1676</xdr:row>
      <xdr:rowOff>28575</xdr:rowOff>
    </xdr:from>
    <xdr:to>
      <xdr:col>3</xdr:col>
      <xdr:colOff>1552575</xdr:colOff>
      <xdr:row>1684</xdr:row>
      <xdr:rowOff>133350</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1689</xdr:row>
      <xdr:rowOff>28575</xdr:rowOff>
    </xdr:from>
    <xdr:to>
      <xdr:col>3</xdr:col>
      <xdr:colOff>1552575</xdr:colOff>
      <xdr:row>1697</xdr:row>
      <xdr:rowOff>133350</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1701</xdr:row>
      <xdr:rowOff>38100</xdr:rowOff>
    </xdr:from>
    <xdr:to>
      <xdr:col>3</xdr:col>
      <xdr:colOff>1552575</xdr:colOff>
      <xdr:row>1702</xdr:row>
      <xdr:rowOff>638175</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1703</xdr:row>
      <xdr:rowOff>28575</xdr:rowOff>
    </xdr:from>
    <xdr:to>
      <xdr:col>3</xdr:col>
      <xdr:colOff>1552575</xdr:colOff>
      <xdr:row>1706</xdr:row>
      <xdr:rowOff>209550</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1707</xdr:row>
      <xdr:rowOff>28575</xdr:rowOff>
    </xdr:from>
    <xdr:to>
      <xdr:col>3</xdr:col>
      <xdr:colOff>1552575</xdr:colOff>
      <xdr:row>1709</xdr:row>
      <xdr:rowOff>419100</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1710</xdr:row>
      <xdr:rowOff>38100</xdr:rowOff>
    </xdr:from>
    <xdr:to>
      <xdr:col>3</xdr:col>
      <xdr:colOff>1552575</xdr:colOff>
      <xdr:row>1711</xdr:row>
      <xdr:rowOff>638175</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1712</xdr:row>
      <xdr:rowOff>28575</xdr:rowOff>
    </xdr:from>
    <xdr:to>
      <xdr:col>3</xdr:col>
      <xdr:colOff>1552575</xdr:colOff>
      <xdr:row>1717</xdr:row>
      <xdr:rowOff>209550</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1718</xdr:row>
      <xdr:rowOff>38100</xdr:rowOff>
    </xdr:from>
    <xdr:to>
      <xdr:col>3</xdr:col>
      <xdr:colOff>1552575</xdr:colOff>
      <xdr:row>1719</xdr:row>
      <xdr:rowOff>638175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1720</xdr:row>
      <xdr:rowOff>38100</xdr:rowOff>
    </xdr:from>
    <xdr:to>
      <xdr:col>3</xdr:col>
      <xdr:colOff>1552575</xdr:colOff>
      <xdr:row>1721</xdr:row>
      <xdr:rowOff>638175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1722</xdr:row>
      <xdr:rowOff>28575</xdr:rowOff>
    </xdr:from>
    <xdr:to>
      <xdr:col>3</xdr:col>
      <xdr:colOff>1552575</xdr:colOff>
      <xdr:row>1722</xdr:row>
      <xdr:rowOff>1266825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1723</xdr:row>
      <xdr:rowOff>38100</xdr:rowOff>
    </xdr:from>
    <xdr:to>
      <xdr:col>3</xdr:col>
      <xdr:colOff>1552575</xdr:colOff>
      <xdr:row>1724</xdr:row>
      <xdr:rowOff>638175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1725</xdr:row>
      <xdr:rowOff>28575</xdr:rowOff>
    </xdr:from>
    <xdr:to>
      <xdr:col>3</xdr:col>
      <xdr:colOff>1552575</xdr:colOff>
      <xdr:row>1729</xdr:row>
      <xdr:rowOff>333375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1730</xdr:row>
      <xdr:rowOff>38100</xdr:rowOff>
    </xdr:from>
    <xdr:to>
      <xdr:col>3</xdr:col>
      <xdr:colOff>1552575</xdr:colOff>
      <xdr:row>1731</xdr:row>
      <xdr:rowOff>638175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1732</xdr:row>
      <xdr:rowOff>28575</xdr:rowOff>
    </xdr:from>
    <xdr:to>
      <xdr:col>3</xdr:col>
      <xdr:colOff>1552575</xdr:colOff>
      <xdr:row>1736</xdr:row>
      <xdr:rowOff>333375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1737</xdr:row>
      <xdr:rowOff>38100</xdr:rowOff>
    </xdr:from>
    <xdr:to>
      <xdr:col>3</xdr:col>
      <xdr:colOff>1552575</xdr:colOff>
      <xdr:row>1738</xdr:row>
      <xdr:rowOff>638175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1739</xdr:row>
      <xdr:rowOff>28575</xdr:rowOff>
    </xdr:from>
    <xdr:to>
      <xdr:col>3</xdr:col>
      <xdr:colOff>1552575</xdr:colOff>
      <xdr:row>1739</xdr:row>
      <xdr:rowOff>1266825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1740</xdr:row>
      <xdr:rowOff>28575</xdr:rowOff>
    </xdr:from>
    <xdr:to>
      <xdr:col>3</xdr:col>
      <xdr:colOff>1552575</xdr:colOff>
      <xdr:row>1740</xdr:row>
      <xdr:rowOff>1266825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1741</xdr:row>
      <xdr:rowOff>28575</xdr:rowOff>
    </xdr:from>
    <xdr:to>
      <xdr:col>3</xdr:col>
      <xdr:colOff>1552575</xdr:colOff>
      <xdr:row>1744</xdr:row>
      <xdr:rowOff>209550</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1745</xdr:row>
      <xdr:rowOff>28575</xdr:rowOff>
    </xdr:from>
    <xdr:to>
      <xdr:col>3</xdr:col>
      <xdr:colOff>1552575</xdr:colOff>
      <xdr:row>1745</xdr:row>
      <xdr:rowOff>1266825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1746</xdr:row>
      <xdr:rowOff>28575</xdr:rowOff>
    </xdr:from>
    <xdr:to>
      <xdr:col>3</xdr:col>
      <xdr:colOff>1552575</xdr:colOff>
      <xdr:row>1746</xdr:row>
      <xdr:rowOff>1266825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1747</xdr:row>
      <xdr:rowOff>28575</xdr:rowOff>
    </xdr:from>
    <xdr:to>
      <xdr:col>3</xdr:col>
      <xdr:colOff>1552575</xdr:colOff>
      <xdr:row>1747</xdr:row>
      <xdr:rowOff>1266825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1748</xdr:row>
      <xdr:rowOff>28575</xdr:rowOff>
    </xdr:from>
    <xdr:to>
      <xdr:col>3</xdr:col>
      <xdr:colOff>1552575</xdr:colOff>
      <xdr:row>1748</xdr:row>
      <xdr:rowOff>1266825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1749</xdr:row>
      <xdr:rowOff>28575</xdr:rowOff>
    </xdr:from>
    <xdr:to>
      <xdr:col>3</xdr:col>
      <xdr:colOff>1552575</xdr:colOff>
      <xdr:row>1749</xdr:row>
      <xdr:rowOff>1266825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1750</xdr:row>
      <xdr:rowOff>28575</xdr:rowOff>
    </xdr:from>
    <xdr:to>
      <xdr:col>3</xdr:col>
      <xdr:colOff>1552575</xdr:colOff>
      <xdr:row>1750</xdr:row>
      <xdr:rowOff>1266825</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1751</xdr:row>
      <xdr:rowOff>28575</xdr:rowOff>
    </xdr:from>
    <xdr:to>
      <xdr:col>3</xdr:col>
      <xdr:colOff>1552575</xdr:colOff>
      <xdr:row>1751</xdr:row>
      <xdr:rowOff>1266825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1752</xdr:row>
      <xdr:rowOff>28575</xdr:rowOff>
    </xdr:from>
    <xdr:to>
      <xdr:col>3</xdr:col>
      <xdr:colOff>1552575</xdr:colOff>
      <xdr:row>1752</xdr:row>
      <xdr:rowOff>1266825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1753</xdr:row>
      <xdr:rowOff>28575</xdr:rowOff>
    </xdr:from>
    <xdr:to>
      <xdr:col>3</xdr:col>
      <xdr:colOff>1552575</xdr:colOff>
      <xdr:row>1755</xdr:row>
      <xdr:rowOff>419100</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1756</xdr:row>
      <xdr:rowOff>28575</xdr:rowOff>
    </xdr:from>
    <xdr:to>
      <xdr:col>3</xdr:col>
      <xdr:colOff>1552575</xdr:colOff>
      <xdr:row>1756</xdr:row>
      <xdr:rowOff>1266825</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1757</xdr:row>
      <xdr:rowOff>38100</xdr:rowOff>
    </xdr:from>
    <xdr:to>
      <xdr:col>3</xdr:col>
      <xdr:colOff>1552575</xdr:colOff>
      <xdr:row>1758</xdr:row>
      <xdr:rowOff>638175</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1759</xdr:row>
      <xdr:rowOff>28575</xdr:rowOff>
    </xdr:from>
    <xdr:to>
      <xdr:col>3</xdr:col>
      <xdr:colOff>1552575</xdr:colOff>
      <xdr:row>1761</xdr:row>
      <xdr:rowOff>419100</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1762</xdr:row>
      <xdr:rowOff>28575</xdr:rowOff>
    </xdr:from>
    <xdr:to>
      <xdr:col>3</xdr:col>
      <xdr:colOff>1552575</xdr:colOff>
      <xdr:row>1764</xdr:row>
      <xdr:rowOff>419100</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1765</xdr:row>
      <xdr:rowOff>28575</xdr:rowOff>
    </xdr:from>
    <xdr:to>
      <xdr:col>3</xdr:col>
      <xdr:colOff>1552575</xdr:colOff>
      <xdr:row>1767</xdr:row>
      <xdr:rowOff>419100</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1768</xdr:row>
      <xdr:rowOff>28575</xdr:rowOff>
    </xdr:from>
    <xdr:to>
      <xdr:col>3</xdr:col>
      <xdr:colOff>1552575</xdr:colOff>
      <xdr:row>1770</xdr:row>
      <xdr:rowOff>419100</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1771</xdr:row>
      <xdr:rowOff>28575</xdr:rowOff>
    </xdr:from>
    <xdr:to>
      <xdr:col>3</xdr:col>
      <xdr:colOff>1552575</xdr:colOff>
      <xdr:row>1771</xdr:row>
      <xdr:rowOff>1266825</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1772</xdr:row>
      <xdr:rowOff>28575</xdr:rowOff>
    </xdr:from>
    <xdr:to>
      <xdr:col>3</xdr:col>
      <xdr:colOff>1552575</xdr:colOff>
      <xdr:row>1772</xdr:row>
      <xdr:rowOff>1266825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1773</xdr:row>
      <xdr:rowOff>28575</xdr:rowOff>
    </xdr:from>
    <xdr:to>
      <xdr:col>3</xdr:col>
      <xdr:colOff>1552575</xdr:colOff>
      <xdr:row>1775</xdr:row>
      <xdr:rowOff>419100</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1776</xdr:row>
      <xdr:rowOff>28575</xdr:rowOff>
    </xdr:from>
    <xdr:to>
      <xdr:col>3</xdr:col>
      <xdr:colOff>1552575</xdr:colOff>
      <xdr:row>1779</xdr:row>
      <xdr:rowOff>209550</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1780</xdr:row>
      <xdr:rowOff>38100</xdr:rowOff>
    </xdr:from>
    <xdr:to>
      <xdr:col>3</xdr:col>
      <xdr:colOff>1552575</xdr:colOff>
      <xdr:row>1781</xdr:row>
      <xdr:rowOff>638175</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1782</xdr:row>
      <xdr:rowOff>38100</xdr:rowOff>
    </xdr:from>
    <xdr:to>
      <xdr:col>3</xdr:col>
      <xdr:colOff>1552575</xdr:colOff>
      <xdr:row>1783</xdr:row>
      <xdr:rowOff>638175</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1784</xdr:row>
      <xdr:rowOff>28575</xdr:rowOff>
    </xdr:from>
    <xdr:to>
      <xdr:col>3</xdr:col>
      <xdr:colOff>1552575</xdr:colOff>
      <xdr:row>1784</xdr:row>
      <xdr:rowOff>1266825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1785</xdr:row>
      <xdr:rowOff>28575</xdr:rowOff>
    </xdr:from>
    <xdr:to>
      <xdr:col>3</xdr:col>
      <xdr:colOff>1552575</xdr:colOff>
      <xdr:row>1788</xdr:row>
      <xdr:rowOff>209550</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1789</xdr:row>
      <xdr:rowOff>28575</xdr:rowOff>
    </xdr:from>
    <xdr:to>
      <xdr:col>3</xdr:col>
      <xdr:colOff>1552575</xdr:colOff>
      <xdr:row>1789</xdr:row>
      <xdr:rowOff>1266825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1790</xdr:row>
      <xdr:rowOff>28575</xdr:rowOff>
    </xdr:from>
    <xdr:to>
      <xdr:col>3</xdr:col>
      <xdr:colOff>1552575</xdr:colOff>
      <xdr:row>1790</xdr:row>
      <xdr:rowOff>1266825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1791</xdr:row>
      <xdr:rowOff>28575</xdr:rowOff>
    </xdr:from>
    <xdr:to>
      <xdr:col>3</xdr:col>
      <xdr:colOff>1552575</xdr:colOff>
      <xdr:row>1791</xdr:row>
      <xdr:rowOff>1266825</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1792</xdr:row>
      <xdr:rowOff>28575</xdr:rowOff>
    </xdr:from>
    <xdr:to>
      <xdr:col>3</xdr:col>
      <xdr:colOff>1552575</xdr:colOff>
      <xdr:row>1796</xdr:row>
      <xdr:rowOff>333375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1797</xdr:row>
      <xdr:rowOff>28575</xdr:rowOff>
    </xdr:from>
    <xdr:to>
      <xdr:col>3</xdr:col>
      <xdr:colOff>1552575</xdr:colOff>
      <xdr:row>1801</xdr:row>
      <xdr:rowOff>333375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1802</xdr:row>
      <xdr:rowOff>28575</xdr:rowOff>
    </xdr:from>
    <xdr:to>
      <xdr:col>3</xdr:col>
      <xdr:colOff>1552575</xdr:colOff>
      <xdr:row>1804</xdr:row>
      <xdr:rowOff>419100</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1805</xdr:row>
      <xdr:rowOff>38100</xdr:rowOff>
    </xdr:from>
    <xdr:to>
      <xdr:col>3</xdr:col>
      <xdr:colOff>1552575</xdr:colOff>
      <xdr:row>1806</xdr:row>
      <xdr:rowOff>638175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1807</xdr:row>
      <xdr:rowOff>38100</xdr:rowOff>
    </xdr:from>
    <xdr:to>
      <xdr:col>3</xdr:col>
      <xdr:colOff>1552575</xdr:colOff>
      <xdr:row>1808</xdr:row>
      <xdr:rowOff>638175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1809</xdr:row>
      <xdr:rowOff>28575</xdr:rowOff>
    </xdr:from>
    <xdr:to>
      <xdr:col>3</xdr:col>
      <xdr:colOff>1552575</xdr:colOff>
      <xdr:row>1811</xdr:row>
      <xdr:rowOff>419100</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1812</xdr:row>
      <xdr:rowOff>28575</xdr:rowOff>
    </xdr:from>
    <xdr:to>
      <xdr:col>3</xdr:col>
      <xdr:colOff>1552575</xdr:colOff>
      <xdr:row>1814</xdr:row>
      <xdr:rowOff>419100</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1815</xdr:row>
      <xdr:rowOff>28575</xdr:rowOff>
    </xdr:from>
    <xdr:to>
      <xdr:col>3</xdr:col>
      <xdr:colOff>1552575</xdr:colOff>
      <xdr:row>1817</xdr:row>
      <xdr:rowOff>419100</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1818</xdr:row>
      <xdr:rowOff>28575</xdr:rowOff>
    </xdr:from>
    <xdr:to>
      <xdr:col>3</xdr:col>
      <xdr:colOff>1552575</xdr:colOff>
      <xdr:row>1820</xdr:row>
      <xdr:rowOff>419100</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1821</xdr:row>
      <xdr:rowOff>28575</xdr:rowOff>
    </xdr:from>
    <xdr:to>
      <xdr:col>3</xdr:col>
      <xdr:colOff>1552575</xdr:colOff>
      <xdr:row>1823</xdr:row>
      <xdr:rowOff>419100</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1824</xdr:row>
      <xdr:rowOff>28575</xdr:rowOff>
    </xdr:from>
    <xdr:to>
      <xdr:col>3</xdr:col>
      <xdr:colOff>1552575</xdr:colOff>
      <xdr:row>1824</xdr:row>
      <xdr:rowOff>1266825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1825</xdr:row>
      <xdr:rowOff>38100</xdr:rowOff>
    </xdr:from>
    <xdr:to>
      <xdr:col>3</xdr:col>
      <xdr:colOff>1552575</xdr:colOff>
      <xdr:row>1826</xdr:row>
      <xdr:rowOff>638175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1827</xdr:row>
      <xdr:rowOff>38100</xdr:rowOff>
    </xdr:from>
    <xdr:to>
      <xdr:col>3</xdr:col>
      <xdr:colOff>1552575</xdr:colOff>
      <xdr:row>1828</xdr:row>
      <xdr:rowOff>638175</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1829</xdr:row>
      <xdr:rowOff>28575</xdr:rowOff>
    </xdr:from>
    <xdr:to>
      <xdr:col>3</xdr:col>
      <xdr:colOff>1552575</xdr:colOff>
      <xdr:row>1829</xdr:row>
      <xdr:rowOff>1266825</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1830</xdr:row>
      <xdr:rowOff>38100</xdr:rowOff>
    </xdr:from>
    <xdr:to>
      <xdr:col>3</xdr:col>
      <xdr:colOff>1552575</xdr:colOff>
      <xdr:row>1831</xdr:row>
      <xdr:rowOff>638175</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1832</xdr:row>
      <xdr:rowOff>28575</xdr:rowOff>
    </xdr:from>
    <xdr:to>
      <xdr:col>3</xdr:col>
      <xdr:colOff>1552575</xdr:colOff>
      <xdr:row>1832</xdr:row>
      <xdr:rowOff>1266825</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1833</xdr:row>
      <xdr:rowOff>28575</xdr:rowOff>
    </xdr:from>
    <xdr:to>
      <xdr:col>3</xdr:col>
      <xdr:colOff>1552575</xdr:colOff>
      <xdr:row>1833</xdr:row>
      <xdr:rowOff>1266825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1834</xdr:row>
      <xdr:rowOff>28575</xdr:rowOff>
    </xdr:from>
    <xdr:to>
      <xdr:col>3</xdr:col>
      <xdr:colOff>1552575</xdr:colOff>
      <xdr:row>1834</xdr:row>
      <xdr:rowOff>1266825</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1835</xdr:row>
      <xdr:rowOff>28575</xdr:rowOff>
    </xdr:from>
    <xdr:to>
      <xdr:col>3</xdr:col>
      <xdr:colOff>1552575</xdr:colOff>
      <xdr:row>1837</xdr:row>
      <xdr:rowOff>419100</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1838</xdr:row>
      <xdr:rowOff>28575</xdr:rowOff>
    </xdr:from>
    <xdr:to>
      <xdr:col>3</xdr:col>
      <xdr:colOff>1552575</xdr:colOff>
      <xdr:row>1838</xdr:row>
      <xdr:rowOff>1266825</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1839</xdr:row>
      <xdr:rowOff>28575</xdr:rowOff>
    </xdr:from>
    <xdr:to>
      <xdr:col>3</xdr:col>
      <xdr:colOff>1552575</xdr:colOff>
      <xdr:row>1839</xdr:row>
      <xdr:rowOff>1266825</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1840</xdr:row>
      <xdr:rowOff>28575</xdr:rowOff>
    </xdr:from>
    <xdr:to>
      <xdr:col>3</xdr:col>
      <xdr:colOff>1552575</xdr:colOff>
      <xdr:row>1843</xdr:row>
      <xdr:rowOff>209550</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1844</xdr:row>
      <xdr:rowOff>28575</xdr:rowOff>
    </xdr:from>
    <xdr:to>
      <xdr:col>3</xdr:col>
      <xdr:colOff>1552575</xdr:colOff>
      <xdr:row>1846</xdr:row>
      <xdr:rowOff>419100</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1847</xdr:row>
      <xdr:rowOff>28575</xdr:rowOff>
    </xdr:from>
    <xdr:to>
      <xdr:col>3</xdr:col>
      <xdr:colOff>1552575</xdr:colOff>
      <xdr:row>1847</xdr:row>
      <xdr:rowOff>1266825</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1848</xdr:row>
      <xdr:rowOff>28575</xdr:rowOff>
    </xdr:from>
    <xdr:to>
      <xdr:col>3</xdr:col>
      <xdr:colOff>1552575</xdr:colOff>
      <xdr:row>1848</xdr:row>
      <xdr:rowOff>1266825</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1849</xdr:row>
      <xdr:rowOff>28575</xdr:rowOff>
    </xdr:from>
    <xdr:to>
      <xdr:col>3</xdr:col>
      <xdr:colOff>1552575</xdr:colOff>
      <xdr:row>1849</xdr:row>
      <xdr:rowOff>1266825</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1850</xdr:row>
      <xdr:rowOff>28575</xdr:rowOff>
    </xdr:from>
    <xdr:to>
      <xdr:col>3</xdr:col>
      <xdr:colOff>1552575</xdr:colOff>
      <xdr:row>1850</xdr:row>
      <xdr:rowOff>1266825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1851</xdr:row>
      <xdr:rowOff>28575</xdr:rowOff>
    </xdr:from>
    <xdr:to>
      <xdr:col>3</xdr:col>
      <xdr:colOff>1552575</xdr:colOff>
      <xdr:row>1851</xdr:row>
      <xdr:rowOff>1266825</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1852</xdr:row>
      <xdr:rowOff>38100</xdr:rowOff>
    </xdr:from>
    <xdr:to>
      <xdr:col>3</xdr:col>
      <xdr:colOff>1552575</xdr:colOff>
      <xdr:row>1853</xdr:row>
      <xdr:rowOff>638175</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1854</xdr:row>
      <xdr:rowOff>28575</xdr:rowOff>
    </xdr:from>
    <xdr:to>
      <xdr:col>3</xdr:col>
      <xdr:colOff>1552575</xdr:colOff>
      <xdr:row>1857</xdr:row>
      <xdr:rowOff>209550</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1858</xdr:row>
      <xdr:rowOff>28575</xdr:rowOff>
    </xdr:from>
    <xdr:to>
      <xdr:col>3</xdr:col>
      <xdr:colOff>1552575</xdr:colOff>
      <xdr:row>1858</xdr:row>
      <xdr:rowOff>1266825</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1859</xdr:row>
      <xdr:rowOff>38100</xdr:rowOff>
    </xdr:from>
    <xdr:to>
      <xdr:col>3</xdr:col>
      <xdr:colOff>1552575</xdr:colOff>
      <xdr:row>1860</xdr:row>
      <xdr:rowOff>638175</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1861</xdr:row>
      <xdr:rowOff>28575</xdr:rowOff>
    </xdr:from>
    <xdr:to>
      <xdr:col>3</xdr:col>
      <xdr:colOff>1552575</xdr:colOff>
      <xdr:row>1863</xdr:row>
      <xdr:rowOff>419100</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1864</xdr:row>
      <xdr:rowOff>28575</xdr:rowOff>
    </xdr:from>
    <xdr:to>
      <xdr:col>3</xdr:col>
      <xdr:colOff>1552575</xdr:colOff>
      <xdr:row>1864</xdr:row>
      <xdr:rowOff>1266825</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1865</xdr:row>
      <xdr:rowOff>38100</xdr:rowOff>
    </xdr:from>
    <xdr:to>
      <xdr:col>3</xdr:col>
      <xdr:colOff>1552575</xdr:colOff>
      <xdr:row>1866</xdr:row>
      <xdr:rowOff>638175</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1867</xdr:row>
      <xdr:rowOff>28575</xdr:rowOff>
    </xdr:from>
    <xdr:to>
      <xdr:col>3</xdr:col>
      <xdr:colOff>1552575</xdr:colOff>
      <xdr:row>1867</xdr:row>
      <xdr:rowOff>1266825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1868</xdr:row>
      <xdr:rowOff>28575</xdr:rowOff>
    </xdr:from>
    <xdr:to>
      <xdr:col>3</xdr:col>
      <xdr:colOff>1552575</xdr:colOff>
      <xdr:row>1870</xdr:row>
      <xdr:rowOff>419100</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1871</xdr:row>
      <xdr:rowOff>28575</xdr:rowOff>
    </xdr:from>
    <xdr:to>
      <xdr:col>3</xdr:col>
      <xdr:colOff>1552575</xdr:colOff>
      <xdr:row>1874</xdr:row>
      <xdr:rowOff>209550</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1875</xdr:row>
      <xdr:rowOff>28575</xdr:rowOff>
    </xdr:from>
    <xdr:to>
      <xdr:col>3</xdr:col>
      <xdr:colOff>1552575</xdr:colOff>
      <xdr:row>1875</xdr:row>
      <xdr:rowOff>1266825</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1876</xdr:row>
      <xdr:rowOff>28575</xdr:rowOff>
    </xdr:from>
    <xdr:to>
      <xdr:col>3</xdr:col>
      <xdr:colOff>1552575</xdr:colOff>
      <xdr:row>1879</xdr:row>
      <xdr:rowOff>209550</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1880</xdr:row>
      <xdr:rowOff>28575</xdr:rowOff>
    </xdr:from>
    <xdr:to>
      <xdr:col>3</xdr:col>
      <xdr:colOff>1552575</xdr:colOff>
      <xdr:row>1882</xdr:row>
      <xdr:rowOff>419100</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1883</xdr:row>
      <xdr:rowOff>28575</xdr:rowOff>
    </xdr:from>
    <xdr:to>
      <xdr:col>3</xdr:col>
      <xdr:colOff>1552575</xdr:colOff>
      <xdr:row>1886</xdr:row>
      <xdr:rowOff>209550</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1887</xdr:row>
      <xdr:rowOff>38100</xdr:rowOff>
    </xdr:from>
    <xdr:to>
      <xdr:col>3</xdr:col>
      <xdr:colOff>1552575</xdr:colOff>
      <xdr:row>1888</xdr:row>
      <xdr:rowOff>638175</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1889</xdr:row>
      <xdr:rowOff>28575</xdr:rowOff>
    </xdr:from>
    <xdr:to>
      <xdr:col>3</xdr:col>
      <xdr:colOff>1552575</xdr:colOff>
      <xdr:row>1892</xdr:row>
      <xdr:rowOff>209550</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1893</xdr:row>
      <xdr:rowOff>28575</xdr:rowOff>
    </xdr:from>
    <xdr:to>
      <xdr:col>3</xdr:col>
      <xdr:colOff>1552575</xdr:colOff>
      <xdr:row>1897</xdr:row>
      <xdr:rowOff>333375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1898</xdr:row>
      <xdr:rowOff>38100</xdr:rowOff>
    </xdr:from>
    <xdr:to>
      <xdr:col>3</xdr:col>
      <xdr:colOff>1552575</xdr:colOff>
      <xdr:row>1899</xdr:row>
      <xdr:rowOff>638175</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1900</xdr:row>
      <xdr:rowOff>28575</xdr:rowOff>
    </xdr:from>
    <xdr:to>
      <xdr:col>3</xdr:col>
      <xdr:colOff>1552575</xdr:colOff>
      <xdr:row>1902</xdr:row>
      <xdr:rowOff>419100</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1903</xdr:row>
      <xdr:rowOff>28575</xdr:rowOff>
    </xdr:from>
    <xdr:to>
      <xdr:col>3</xdr:col>
      <xdr:colOff>1552575</xdr:colOff>
      <xdr:row>1906</xdr:row>
      <xdr:rowOff>209550</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1907</xdr:row>
      <xdr:rowOff>28575</xdr:rowOff>
    </xdr:from>
    <xdr:to>
      <xdr:col>3</xdr:col>
      <xdr:colOff>1552575</xdr:colOff>
      <xdr:row>1909</xdr:row>
      <xdr:rowOff>419100</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1910</xdr:row>
      <xdr:rowOff>28575</xdr:rowOff>
    </xdr:from>
    <xdr:to>
      <xdr:col>3</xdr:col>
      <xdr:colOff>1552575</xdr:colOff>
      <xdr:row>1914</xdr:row>
      <xdr:rowOff>333375</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1915</xdr:row>
      <xdr:rowOff>28575</xdr:rowOff>
    </xdr:from>
    <xdr:to>
      <xdr:col>3</xdr:col>
      <xdr:colOff>1552575</xdr:colOff>
      <xdr:row>1918</xdr:row>
      <xdr:rowOff>209550</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1919</xdr:row>
      <xdr:rowOff>28575</xdr:rowOff>
    </xdr:from>
    <xdr:to>
      <xdr:col>3</xdr:col>
      <xdr:colOff>1552575</xdr:colOff>
      <xdr:row>1922</xdr:row>
      <xdr:rowOff>209550</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1923</xdr:row>
      <xdr:rowOff>28575</xdr:rowOff>
    </xdr:from>
    <xdr:to>
      <xdr:col>3</xdr:col>
      <xdr:colOff>1552575</xdr:colOff>
      <xdr:row>1925</xdr:row>
      <xdr:rowOff>419100</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1926</xdr:row>
      <xdr:rowOff>28575</xdr:rowOff>
    </xdr:from>
    <xdr:to>
      <xdr:col>3</xdr:col>
      <xdr:colOff>1552575</xdr:colOff>
      <xdr:row>1928</xdr:row>
      <xdr:rowOff>419100</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1929</xdr:row>
      <xdr:rowOff>38100</xdr:rowOff>
    </xdr:from>
    <xdr:to>
      <xdr:col>3</xdr:col>
      <xdr:colOff>1552575</xdr:colOff>
      <xdr:row>1930</xdr:row>
      <xdr:rowOff>638175</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1931</xdr:row>
      <xdr:rowOff>28575</xdr:rowOff>
    </xdr:from>
    <xdr:to>
      <xdr:col>3</xdr:col>
      <xdr:colOff>1552575</xdr:colOff>
      <xdr:row>1933</xdr:row>
      <xdr:rowOff>419100</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1934</xdr:row>
      <xdr:rowOff>38100</xdr:rowOff>
    </xdr:from>
    <xdr:to>
      <xdr:col>3</xdr:col>
      <xdr:colOff>1552575</xdr:colOff>
      <xdr:row>1935</xdr:row>
      <xdr:rowOff>638175</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1936</xdr:row>
      <xdr:rowOff>28575</xdr:rowOff>
    </xdr:from>
    <xdr:to>
      <xdr:col>3</xdr:col>
      <xdr:colOff>1552575</xdr:colOff>
      <xdr:row>1936</xdr:row>
      <xdr:rowOff>1266825</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1937</xdr:row>
      <xdr:rowOff>28575</xdr:rowOff>
    </xdr:from>
    <xdr:to>
      <xdr:col>3</xdr:col>
      <xdr:colOff>1552575</xdr:colOff>
      <xdr:row>1940</xdr:row>
      <xdr:rowOff>209550</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1941</xdr:row>
      <xdr:rowOff>28575</xdr:rowOff>
    </xdr:from>
    <xdr:to>
      <xdr:col>3</xdr:col>
      <xdr:colOff>1552575</xdr:colOff>
      <xdr:row>1943</xdr:row>
      <xdr:rowOff>419100</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1944</xdr:row>
      <xdr:rowOff>38100</xdr:rowOff>
    </xdr:from>
    <xdr:to>
      <xdr:col>3</xdr:col>
      <xdr:colOff>1552575</xdr:colOff>
      <xdr:row>1945</xdr:row>
      <xdr:rowOff>638175</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1946</xdr:row>
      <xdr:rowOff>28575</xdr:rowOff>
    </xdr:from>
    <xdr:to>
      <xdr:col>3</xdr:col>
      <xdr:colOff>1552575</xdr:colOff>
      <xdr:row>1948</xdr:row>
      <xdr:rowOff>419100</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1949</xdr:row>
      <xdr:rowOff>28575</xdr:rowOff>
    </xdr:from>
    <xdr:to>
      <xdr:col>3</xdr:col>
      <xdr:colOff>1552575</xdr:colOff>
      <xdr:row>1949</xdr:row>
      <xdr:rowOff>1266825</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1950</xdr:row>
      <xdr:rowOff>28575</xdr:rowOff>
    </xdr:from>
    <xdr:to>
      <xdr:col>3</xdr:col>
      <xdr:colOff>1552575</xdr:colOff>
      <xdr:row>1953</xdr:row>
      <xdr:rowOff>209550</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1954</xdr:row>
      <xdr:rowOff>28575</xdr:rowOff>
    </xdr:from>
    <xdr:to>
      <xdr:col>3</xdr:col>
      <xdr:colOff>1552575</xdr:colOff>
      <xdr:row>1954</xdr:row>
      <xdr:rowOff>1266825</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1955</xdr:row>
      <xdr:rowOff>28575</xdr:rowOff>
    </xdr:from>
    <xdr:to>
      <xdr:col>3</xdr:col>
      <xdr:colOff>1552575</xdr:colOff>
      <xdr:row>1957</xdr:row>
      <xdr:rowOff>419100</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1958</xdr:row>
      <xdr:rowOff>28575</xdr:rowOff>
    </xdr:from>
    <xdr:to>
      <xdr:col>3</xdr:col>
      <xdr:colOff>1552575</xdr:colOff>
      <xdr:row>1960</xdr:row>
      <xdr:rowOff>419100</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1961</xdr:row>
      <xdr:rowOff>28575</xdr:rowOff>
    </xdr:from>
    <xdr:to>
      <xdr:col>3</xdr:col>
      <xdr:colOff>1552575</xdr:colOff>
      <xdr:row>1963</xdr:row>
      <xdr:rowOff>419100</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1964</xdr:row>
      <xdr:rowOff>28575</xdr:rowOff>
    </xdr:from>
    <xdr:to>
      <xdr:col>3</xdr:col>
      <xdr:colOff>1552575</xdr:colOff>
      <xdr:row>1964</xdr:row>
      <xdr:rowOff>1266825</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1965</xdr:row>
      <xdr:rowOff>28575</xdr:rowOff>
    </xdr:from>
    <xdr:to>
      <xdr:col>3</xdr:col>
      <xdr:colOff>1552575</xdr:colOff>
      <xdr:row>1968</xdr:row>
      <xdr:rowOff>209550</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1969</xdr:row>
      <xdr:rowOff>28575</xdr:rowOff>
    </xdr:from>
    <xdr:to>
      <xdr:col>3</xdr:col>
      <xdr:colOff>1552575</xdr:colOff>
      <xdr:row>1972</xdr:row>
      <xdr:rowOff>209550</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1973</xdr:row>
      <xdr:rowOff>38100</xdr:rowOff>
    </xdr:from>
    <xdr:to>
      <xdr:col>3</xdr:col>
      <xdr:colOff>1552575</xdr:colOff>
      <xdr:row>1974</xdr:row>
      <xdr:rowOff>638175</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1975</xdr:row>
      <xdr:rowOff>28575</xdr:rowOff>
    </xdr:from>
    <xdr:to>
      <xdr:col>3</xdr:col>
      <xdr:colOff>1552575</xdr:colOff>
      <xdr:row>1978</xdr:row>
      <xdr:rowOff>209550</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1979</xdr:row>
      <xdr:rowOff>28575</xdr:rowOff>
    </xdr:from>
    <xdr:to>
      <xdr:col>3</xdr:col>
      <xdr:colOff>1552575</xdr:colOff>
      <xdr:row>1981</xdr:row>
      <xdr:rowOff>419100</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1982</xdr:row>
      <xdr:rowOff>28575</xdr:rowOff>
    </xdr:from>
    <xdr:to>
      <xdr:col>3</xdr:col>
      <xdr:colOff>1552575</xdr:colOff>
      <xdr:row>1987</xdr:row>
      <xdr:rowOff>209550</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1988</xdr:row>
      <xdr:rowOff>28575</xdr:rowOff>
    </xdr:from>
    <xdr:to>
      <xdr:col>3</xdr:col>
      <xdr:colOff>1552575</xdr:colOff>
      <xdr:row>1988</xdr:row>
      <xdr:rowOff>1266825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1989</xdr:row>
      <xdr:rowOff>28575</xdr:rowOff>
    </xdr:from>
    <xdr:to>
      <xdr:col>3</xdr:col>
      <xdr:colOff>1552575</xdr:colOff>
      <xdr:row>1989</xdr:row>
      <xdr:rowOff>1266825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1990</xdr:row>
      <xdr:rowOff>28575</xdr:rowOff>
    </xdr:from>
    <xdr:to>
      <xdr:col>3</xdr:col>
      <xdr:colOff>1552575</xdr:colOff>
      <xdr:row>1990</xdr:row>
      <xdr:rowOff>1266825</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1991</xdr:row>
      <xdr:rowOff>28575</xdr:rowOff>
    </xdr:from>
    <xdr:to>
      <xdr:col>3</xdr:col>
      <xdr:colOff>1552575</xdr:colOff>
      <xdr:row>1991</xdr:row>
      <xdr:rowOff>1266825</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1992</xdr:row>
      <xdr:rowOff>28575</xdr:rowOff>
    </xdr:from>
    <xdr:to>
      <xdr:col>3</xdr:col>
      <xdr:colOff>1552575</xdr:colOff>
      <xdr:row>1992</xdr:row>
      <xdr:rowOff>1266825</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1993</xdr:row>
      <xdr:rowOff>28575</xdr:rowOff>
    </xdr:from>
    <xdr:to>
      <xdr:col>3</xdr:col>
      <xdr:colOff>1552575</xdr:colOff>
      <xdr:row>1993</xdr:row>
      <xdr:rowOff>1266825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1994</xdr:row>
      <xdr:rowOff>28575</xdr:rowOff>
    </xdr:from>
    <xdr:to>
      <xdr:col>3</xdr:col>
      <xdr:colOff>1552575</xdr:colOff>
      <xdr:row>1994</xdr:row>
      <xdr:rowOff>1266825</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1995</xdr:row>
      <xdr:rowOff>28575</xdr:rowOff>
    </xdr:from>
    <xdr:to>
      <xdr:col>3</xdr:col>
      <xdr:colOff>1552575</xdr:colOff>
      <xdr:row>1997</xdr:row>
      <xdr:rowOff>419100</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1998</xdr:row>
      <xdr:rowOff>28575</xdr:rowOff>
    </xdr:from>
    <xdr:to>
      <xdr:col>3</xdr:col>
      <xdr:colOff>1552575</xdr:colOff>
      <xdr:row>1998</xdr:row>
      <xdr:rowOff>1266825</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1999</xdr:row>
      <xdr:rowOff>28575</xdr:rowOff>
    </xdr:from>
    <xdr:to>
      <xdr:col>3</xdr:col>
      <xdr:colOff>1552575</xdr:colOff>
      <xdr:row>1999</xdr:row>
      <xdr:rowOff>1266825</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2000</xdr:row>
      <xdr:rowOff>38100</xdr:rowOff>
    </xdr:from>
    <xdr:to>
      <xdr:col>3</xdr:col>
      <xdr:colOff>1552575</xdr:colOff>
      <xdr:row>2001</xdr:row>
      <xdr:rowOff>638175</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2002</xdr:row>
      <xdr:rowOff>28575</xdr:rowOff>
    </xdr:from>
    <xdr:to>
      <xdr:col>3</xdr:col>
      <xdr:colOff>1552575</xdr:colOff>
      <xdr:row>2002</xdr:row>
      <xdr:rowOff>1266825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2003</xdr:row>
      <xdr:rowOff>28575</xdr:rowOff>
    </xdr:from>
    <xdr:to>
      <xdr:col>3</xdr:col>
      <xdr:colOff>1552575</xdr:colOff>
      <xdr:row>2003</xdr:row>
      <xdr:rowOff>1266825</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2004</xdr:row>
      <xdr:rowOff>28575</xdr:rowOff>
    </xdr:from>
    <xdr:to>
      <xdr:col>3</xdr:col>
      <xdr:colOff>1552575</xdr:colOff>
      <xdr:row>2004</xdr:row>
      <xdr:rowOff>1266825</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2005</xdr:row>
      <xdr:rowOff>28575</xdr:rowOff>
    </xdr:from>
    <xdr:to>
      <xdr:col>3</xdr:col>
      <xdr:colOff>1552575</xdr:colOff>
      <xdr:row>2005</xdr:row>
      <xdr:rowOff>1266825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2006</xdr:row>
      <xdr:rowOff>28575</xdr:rowOff>
    </xdr:from>
    <xdr:to>
      <xdr:col>3</xdr:col>
      <xdr:colOff>1552575</xdr:colOff>
      <xdr:row>2006</xdr:row>
      <xdr:rowOff>1266825</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2007</xdr:row>
      <xdr:rowOff>28575</xdr:rowOff>
    </xdr:from>
    <xdr:to>
      <xdr:col>3</xdr:col>
      <xdr:colOff>1552575</xdr:colOff>
      <xdr:row>2007</xdr:row>
      <xdr:rowOff>1266825</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2008</xdr:row>
      <xdr:rowOff>28575</xdr:rowOff>
    </xdr:from>
    <xdr:to>
      <xdr:col>3</xdr:col>
      <xdr:colOff>1552575</xdr:colOff>
      <xdr:row>2008</xdr:row>
      <xdr:rowOff>1266825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2009</xdr:row>
      <xdr:rowOff>28575</xdr:rowOff>
    </xdr:from>
    <xdr:to>
      <xdr:col>3</xdr:col>
      <xdr:colOff>1552575</xdr:colOff>
      <xdr:row>2009</xdr:row>
      <xdr:rowOff>1266825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2010</xdr:row>
      <xdr:rowOff>28575</xdr:rowOff>
    </xdr:from>
    <xdr:to>
      <xdr:col>3</xdr:col>
      <xdr:colOff>1552575</xdr:colOff>
      <xdr:row>2010</xdr:row>
      <xdr:rowOff>1266825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2011</xdr:row>
      <xdr:rowOff>28575</xdr:rowOff>
    </xdr:from>
    <xdr:to>
      <xdr:col>3</xdr:col>
      <xdr:colOff>1552575</xdr:colOff>
      <xdr:row>2011</xdr:row>
      <xdr:rowOff>1266825</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2012</xdr:row>
      <xdr:rowOff>28575</xdr:rowOff>
    </xdr:from>
    <xdr:to>
      <xdr:col>3</xdr:col>
      <xdr:colOff>1552575</xdr:colOff>
      <xdr:row>2012</xdr:row>
      <xdr:rowOff>1266825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2013</xdr:row>
      <xdr:rowOff>38100</xdr:rowOff>
    </xdr:from>
    <xdr:to>
      <xdr:col>3</xdr:col>
      <xdr:colOff>1552575</xdr:colOff>
      <xdr:row>2014</xdr:row>
      <xdr:rowOff>638175</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2015</xdr:row>
      <xdr:rowOff>28575</xdr:rowOff>
    </xdr:from>
    <xdr:to>
      <xdr:col>3</xdr:col>
      <xdr:colOff>1552575</xdr:colOff>
      <xdr:row>2015</xdr:row>
      <xdr:rowOff>1266825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2016</xdr:row>
      <xdr:rowOff>28575</xdr:rowOff>
    </xdr:from>
    <xdr:to>
      <xdr:col>3</xdr:col>
      <xdr:colOff>1552575</xdr:colOff>
      <xdr:row>2016</xdr:row>
      <xdr:rowOff>1266825</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2017</xdr:row>
      <xdr:rowOff>28575</xdr:rowOff>
    </xdr:from>
    <xdr:to>
      <xdr:col>3</xdr:col>
      <xdr:colOff>1552575</xdr:colOff>
      <xdr:row>2017</xdr:row>
      <xdr:rowOff>1266825</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2018</xdr:row>
      <xdr:rowOff>28575</xdr:rowOff>
    </xdr:from>
    <xdr:to>
      <xdr:col>3</xdr:col>
      <xdr:colOff>1552575</xdr:colOff>
      <xdr:row>2018</xdr:row>
      <xdr:rowOff>1266825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2019</xdr:row>
      <xdr:rowOff>28575</xdr:rowOff>
    </xdr:from>
    <xdr:to>
      <xdr:col>3</xdr:col>
      <xdr:colOff>1552575</xdr:colOff>
      <xdr:row>2019</xdr:row>
      <xdr:rowOff>1266825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2020</xdr:row>
      <xdr:rowOff>38100</xdr:rowOff>
    </xdr:from>
    <xdr:to>
      <xdr:col>3</xdr:col>
      <xdr:colOff>1552575</xdr:colOff>
      <xdr:row>2021</xdr:row>
      <xdr:rowOff>638175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2022</xdr:row>
      <xdr:rowOff>28575</xdr:rowOff>
    </xdr:from>
    <xdr:to>
      <xdr:col>3</xdr:col>
      <xdr:colOff>1552575</xdr:colOff>
      <xdr:row>2022</xdr:row>
      <xdr:rowOff>1266825</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2023</xdr:row>
      <xdr:rowOff>28575</xdr:rowOff>
    </xdr:from>
    <xdr:to>
      <xdr:col>3</xdr:col>
      <xdr:colOff>1552575</xdr:colOff>
      <xdr:row>2023</xdr:row>
      <xdr:rowOff>1266825</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2024</xdr:row>
      <xdr:rowOff>28575</xdr:rowOff>
    </xdr:from>
    <xdr:to>
      <xdr:col>3</xdr:col>
      <xdr:colOff>1552575</xdr:colOff>
      <xdr:row>2024</xdr:row>
      <xdr:rowOff>1266825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2025</xdr:row>
      <xdr:rowOff>28575</xdr:rowOff>
    </xdr:from>
    <xdr:to>
      <xdr:col>3</xdr:col>
      <xdr:colOff>1552575</xdr:colOff>
      <xdr:row>2025</xdr:row>
      <xdr:rowOff>1266825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2026</xdr:row>
      <xdr:rowOff>28575</xdr:rowOff>
    </xdr:from>
    <xdr:to>
      <xdr:col>3</xdr:col>
      <xdr:colOff>1552575</xdr:colOff>
      <xdr:row>2029</xdr:row>
      <xdr:rowOff>209550</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2030</xdr:row>
      <xdr:rowOff>28575</xdr:rowOff>
    </xdr:from>
    <xdr:to>
      <xdr:col>3</xdr:col>
      <xdr:colOff>1552575</xdr:colOff>
      <xdr:row>2032</xdr:row>
      <xdr:rowOff>419100</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2033</xdr:row>
      <xdr:rowOff>28575</xdr:rowOff>
    </xdr:from>
    <xdr:to>
      <xdr:col>3</xdr:col>
      <xdr:colOff>1552575</xdr:colOff>
      <xdr:row>2035</xdr:row>
      <xdr:rowOff>419100</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2036</xdr:row>
      <xdr:rowOff>28575</xdr:rowOff>
    </xdr:from>
    <xdr:to>
      <xdr:col>3</xdr:col>
      <xdr:colOff>1552575</xdr:colOff>
      <xdr:row>2039</xdr:row>
      <xdr:rowOff>209550</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2040</xdr:row>
      <xdr:rowOff>28575</xdr:rowOff>
    </xdr:from>
    <xdr:to>
      <xdr:col>3</xdr:col>
      <xdr:colOff>1552575</xdr:colOff>
      <xdr:row>2044</xdr:row>
      <xdr:rowOff>333375</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2045</xdr:row>
      <xdr:rowOff>28575</xdr:rowOff>
    </xdr:from>
    <xdr:to>
      <xdr:col>3</xdr:col>
      <xdr:colOff>1552575</xdr:colOff>
      <xdr:row>2045</xdr:row>
      <xdr:rowOff>1266825</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2046</xdr:row>
      <xdr:rowOff>28575</xdr:rowOff>
    </xdr:from>
    <xdr:to>
      <xdr:col>3</xdr:col>
      <xdr:colOff>1552575</xdr:colOff>
      <xdr:row>2046</xdr:row>
      <xdr:rowOff>1266825</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2047</xdr:row>
      <xdr:rowOff>28575</xdr:rowOff>
    </xdr:from>
    <xdr:to>
      <xdr:col>3</xdr:col>
      <xdr:colOff>1552575</xdr:colOff>
      <xdr:row>2047</xdr:row>
      <xdr:rowOff>1266825</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2048</xdr:row>
      <xdr:rowOff>28575</xdr:rowOff>
    </xdr:from>
    <xdr:to>
      <xdr:col>3</xdr:col>
      <xdr:colOff>1552575</xdr:colOff>
      <xdr:row>2048</xdr:row>
      <xdr:rowOff>1266825</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2049</xdr:row>
      <xdr:rowOff>28575</xdr:rowOff>
    </xdr:from>
    <xdr:to>
      <xdr:col>3</xdr:col>
      <xdr:colOff>1552575</xdr:colOff>
      <xdr:row>2051</xdr:row>
      <xdr:rowOff>419100</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2052</xdr:row>
      <xdr:rowOff>28575</xdr:rowOff>
    </xdr:from>
    <xdr:to>
      <xdr:col>3</xdr:col>
      <xdr:colOff>1552575</xdr:colOff>
      <xdr:row>2056</xdr:row>
      <xdr:rowOff>333375</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2057</xdr:row>
      <xdr:rowOff>28575</xdr:rowOff>
    </xdr:from>
    <xdr:to>
      <xdr:col>3</xdr:col>
      <xdr:colOff>1552575</xdr:colOff>
      <xdr:row>2060</xdr:row>
      <xdr:rowOff>209550</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2061</xdr:row>
      <xdr:rowOff>38100</xdr:rowOff>
    </xdr:from>
    <xdr:to>
      <xdr:col>3</xdr:col>
      <xdr:colOff>1552575</xdr:colOff>
      <xdr:row>2062</xdr:row>
      <xdr:rowOff>638175</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2063</xdr:row>
      <xdr:rowOff>28575</xdr:rowOff>
    </xdr:from>
    <xdr:to>
      <xdr:col>3</xdr:col>
      <xdr:colOff>1552575</xdr:colOff>
      <xdr:row>2063</xdr:row>
      <xdr:rowOff>1266825</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2064</xdr:row>
      <xdr:rowOff>28575</xdr:rowOff>
    </xdr:from>
    <xdr:to>
      <xdr:col>3</xdr:col>
      <xdr:colOff>1552575</xdr:colOff>
      <xdr:row>2067</xdr:row>
      <xdr:rowOff>209550</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2068</xdr:row>
      <xdr:rowOff>28575</xdr:rowOff>
    </xdr:from>
    <xdr:to>
      <xdr:col>3</xdr:col>
      <xdr:colOff>1552575</xdr:colOff>
      <xdr:row>2068</xdr:row>
      <xdr:rowOff>1266825</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2069</xdr:row>
      <xdr:rowOff>28575</xdr:rowOff>
    </xdr:from>
    <xdr:to>
      <xdr:col>3</xdr:col>
      <xdr:colOff>1552575</xdr:colOff>
      <xdr:row>2071</xdr:row>
      <xdr:rowOff>419100</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2072</xdr:row>
      <xdr:rowOff>28575</xdr:rowOff>
    </xdr:from>
    <xdr:to>
      <xdr:col>3</xdr:col>
      <xdr:colOff>1552575</xdr:colOff>
      <xdr:row>2074</xdr:row>
      <xdr:rowOff>419100</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2075</xdr:row>
      <xdr:rowOff>38100</xdr:rowOff>
    </xdr:from>
    <xdr:to>
      <xdr:col>3</xdr:col>
      <xdr:colOff>1552575</xdr:colOff>
      <xdr:row>2076</xdr:row>
      <xdr:rowOff>638175</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2077</xdr:row>
      <xdr:rowOff>38100</xdr:rowOff>
    </xdr:from>
    <xdr:to>
      <xdr:col>3</xdr:col>
      <xdr:colOff>1552575</xdr:colOff>
      <xdr:row>2078</xdr:row>
      <xdr:rowOff>638175</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2079</xdr:row>
      <xdr:rowOff>28575</xdr:rowOff>
    </xdr:from>
    <xdr:to>
      <xdr:col>3</xdr:col>
      <xdr:colOff>1552575</xdr:colOff>
      <xdr:row>2081</xdr:row>
      <xdr:rowOff>419100</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2082</xdr:row>
      <xdr:rowOff>38100</xdr:rowOff>
    </xdr:from>
    <xdr:to>
      <xdr:col>3</xdr:col>
      <xdr:colOff>1552575</xdr:colOff>
      <xdr:row>2083</xdr:row>
      <xdr:rowOff>638175</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2084</xdr:row>
      <xdr:rowOff>38100</xdr:rowOff>
    </xdr:from>
    <xdr:to>
      <xdr:col>3</xdr:col>
      <xdr:colOff>1552575</xdr:colOff>
      <xdr:row>2085</xdr:row>
      <xdr:rowOff>638175</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2086</xdr:row>
      <xdr:rowOff>28575</xdr:rowOff>
    </xdr:from>
    <xdr:to>
      <xdr:col>3</xdr:col>
      <xdr:colOff>1552575</xdr:colOff>
      <xdr:row>2088</xdr:row>
      <xdr:rowOff>419100</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2089</xdr:row>
      <xdr:rowOff>28575</xdr:rowOff>
    </xdr:from>
    <xdr:to>
      <xdr:col>3</xdr:col>
      <xdr:colOff>1552575</xdr:colOff>
      <xdr:row>2089</xdr:row>
      <xdr:rowOff>1266825</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2090</xdr:row>
      <xdr:rowOff>38100</xdr:rowOff>
    </xdr:from>
    <xdr:to>
      <xdr:col>3</xdr:col>
      <xdr:colOff>1552575</xdr:colOff>
      <xdr:row>2091</xdr:row>
      <xdr:rowOff>638175</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2092</xdr:row>
      <xdr:rowOff>28575</xdr:rowOff>
    </xdr:from>
    <xdr:to>
      <xdr:col>3</xdr:col>
      <xdr:colOff>1552575</xdr:colOff>
      <xdr:row>2094</xdr:row>
      <xdr:rowOff>419100</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2095</xdr:row>
      <xdr:rowOff>28575</xdr:rowOff>
    </xdr:from>
    <xdr:to>
      <xdr:col>3</xdr:col>
      <xdr:colOff>1552575</xdr:colOff>
      <xdr:row>2095</xdr:row>
      <xdr:rowOff>1266825</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2096</xdr:row>
      <xdr:rowOff>38100</xdr:rowOff>
    </xdr:from>
    <xdr:to>
      <xdr:col>3</xdr:col>
      <xdr:colOff>1552575</xdr:colOff>
      <xdr:row>2097</xdr:row>
      <xdr:rowOff>638175</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2098</xdr:row>
      <xdr:rowOff>28575</xdr:rowOff>
    </xdr:from>
    <xdr:to>
      <xdr:col>3</xdr:col>
      <xdr:colOff>1552575</xdr:colOff>
      <xdr:row>2100</xdr:row>
      <xdr:rowOff>419100</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2101</xdr:row>
      <xdr:rowOff>28575</xdr:rowOff>
    </xdr:from>
    <xdr:to>
      <xdr:col>3</xdr:col>
      <xdr:colOff>1552575</xdr:colOff>
      <xdr:row>2104</xdr:row>
      <xdr:rowOff>209550</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2105</xdr:row>
      <xdr:rowOff>28575</xdr:rowOff>
    </xdr:from>
    <xdr:to>
      <xdr:col>3</xdr:col>
      <xdr:colOff>1552575</xdr:colOff>
      <xdr:row>2107</xdr:row>
      <xdr:rowOff>419100</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2108</xdr:row>
      <xdr:rowOff>28575</xdr:rowOff>
    </xdr:from>
    <xdr:to>
      <xdr:col>3</xdr:col>
      <xdr:colOff>1552575</xdr:colOff>
      <xdr:row>2108</xdr:row>
      <xdr:rowOff>1266825</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2109</xdr:row>
      <xdr:rowOff>28575</xdr:rowOff>
    </xdr:from>
    <xdr:to>
      <xdr:col>3</xdr:col>
      <xdr:colOff>1552575</xdr:colOff>
      <xdr:row>2109</xdr:row>
      <xdr:rowOff>1266825</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2110</xdr:row>
      <xdr:rowOff>28575</xdr:rowOff>
    </xdr:from>
    <xdr:to>
      <xdr:col>3</xdr:col>
      <xdr:colOff>1552575</xdr:colOff>
      <xdr:row>2110</xdr:row>
      <xdr:rowOff>1266825</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2111</xdr:row>
      <xdr:rowOff>28575</xdr:rowOff>
    </xdr:from>
    <xdr:to>
      <xdr:col>3</xdr:col>
      <xdr:colOff>1552575</xdr:colOff>
      <xdr:row>2114</xdr:row>
      <xdr:rowOff>209550</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2115</xdr:row>
      <xdr:rowOff>28575</xdr:rowOff>
    </xdr:from>
    <xdr:to>
      <xdr:col>3</xdr:col>
      <xdr:colOff>1552575</xdr:colOff>
      <xdr:row>2119</xdr:row>
      <xdr:rowOff>333375</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2120</xdr:row>
      <xdr:rowOff>38100</xdr:rowOff>
    </xdr:from>
    <xdr:to>
      <xdr:col>3</xdr:col>
      <xdr:colOff>1552575</xdr:colOff>
      <xdr:row>2121</xdr:row>
      <xdr:rowOff>638175</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2122</xdr:row>
      <xdr:rowOff>28575</xdr:rowOff>
    </xdr:from>
    <xdr:to>
      <xdr:col>3</xdr:col>
      <xdr:colOff>1552575</xdr:colOff>
      <xdr:row>2122</xdr:row>
      <xdr:rowOff>1266825</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2123</xdr:row>
      <xdr:rowOff>28575</xdr:rowOff>
    </xdr:from>
    <xdr:to>
      <xdr:col>3</xdr:col>
      <xdr:colOff>1552575</xdr:colOff>
      <xdr:row>2127</xdr:row>
      <xdr:rowOff>333375</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2128</xdr:row>
      <xdr:rowOff>28575</xdr:rowOff>
    </xdr:from>
    <xdr:to>
      <xdr:col>3</xdr:col>
      <xdr:colOff>1552575</xdr:colOff>
      <xdr:row>2132</xdr:row>
      <xdr:rowOff>333375</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2133</xdr:row>
      <xdr:rowOff>28575</xdr:rowOff>
    </xdr:from>
    <xdr:to>
      <xdr:col>3</xdr:col>
      <xdr:colOff>1552575</xdr:colOff>
      <xdr:row>2135</xdr:row>
      <xdr:rowOff>419100</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2136</xdr:row>
      <xdr:rowOff>28575</xdr:rowOff>
    </xdr:from>
    <xdr:to>
      <xdr:col>3</xdr:col>
      <xdr:colOff>1552575</xdr:colOff>
      <xdr:row>2142</xdr:row>
      <xdr:rowOff>171450</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2143</xdr:row>
      <xdr:rowOff>28575</xdr:rowOff>
    </xdr:from>
    <xdr:to>
      <xdr:col>3</xdr:col>
      <xdr:colOff>1552575</xdr:colOff>
      <xdr:row>2143</xdr:row>
      <xdr:rowOff>1266825</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2144</xdr:row>
      <xdr:rowOff>28575</xdr:rowOff>
    </xdr:from>
    <xdr:to>
      <xdr:col>3</xdr:col>
      <xdr:colOff>1552575</xdr:colOff>
      <xdr:row>2147</xdr:row>
      <xdr:rowOff>209550</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2148</xdr:row>
      <xdr:rowOff>28575</xdr:rowOff>
    </xdr:from>
    <xdr:to>
      <xdr:col>3</xdr:col>
      <xdr:colOff>1552575</xdr:colOff>
      <xdr:row>2150</xdr:row>
      <xdr:rowOff>419100</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2151</xdr:row>
      <xdr:rowOff>28575</xdr:rowOff>
    </xdr:from>
    <xdr:to>
      <xdr:col>3</xdr:col>
      <xdr:colOff>1552575</xdr:colOff>
      <xdr:row>2151</xdr:row>
      <xdr:rowOff>1266825</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2152</xdr:row>
      <xdr:rowOff>28575</xdr:rowOff>
    </xdr:from>
    <xdr:to>
      <xdr:col>3</xdr:col>
      <xdr:colOff>1552575</xdr:colOff>
      <xdr:row>2157</xdr:row>
      <xdr:rowOff>209550</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2158</xdr:row>
      <xdr:rowOff>28575</xdr:rowOff>
    </xdr:from>
    <xdr:to>
      <xdr:col>3</xdr:col>
      <xdr:colOff>1552575</xdr:colOff>
      <xdr:row>2161</xdr:row>
      <xdr:rowOff>209550</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2162</xdr:row>
      <xdr:rowOff>28575</xdr:rowOff>
    </xdr:from>
    <xdr:to>
      <xdr:col>3</xdr:col>
      <xdr:colOff>1552575</xdr:colOff>
      <xdr:row>2164</xdr:row>
      <xdr:rowOff>419100</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2165</xdr:row>
      <xdr:rowOff>38100</xdr:rowOff>
    </xdr:from>
    <xdr:to>
      <xdr:col>3</xdr:col>
      <xdr:colOff>1552575</xdr:colOff>
      <xdr:row>2166</xdr:row>
      <xdr:rowOff>638175</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2167</xdr:row>
      <xdr:rowOff>38100</xdr:rowOff>
    </xdr:from>
    <xdr:to>
      <xdr:col>3</xdr:col>
      <xdr:colOff>1552575</xdr:colOff>
      <xdr:row>2168</xdr:row>
      <xdr:rowOff>638175</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2169</xdr:row>
      <xdr:rowOff>38100</xdr:rowOff>
    </xdr:from>
    <xdr:to>
      <xdr:col>3</xdr:col>
      <xdr:colOff>1552575</xdr:colOff>
      <xdr:row>2170</xdr:row>
      <xdr:rowOff>638175</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2171</xdr:row>
      <xdr:rowOff>28575</xdr:rowOff>
    </xdr:from>
    <xdr:to>
      <xdr:col>3</xdr:col>
      <xdr:colOff>1552575</xdr:colOff>
      <xdr:row>2171</xdr:row>
      <xdr:rowOff>1266825</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2172</xdr:row>
      <xdr:rowOff>28575</xdr:rowOff>
    </xdr:from>
    <xdr:to>
      <xdr:col>3</xdr:col>
      <xdr:colOff>1552575</xdr:colOff>
      <xdr:row>2172</xdr:row>
      <xdr:rowOff>1266825</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2173</xdr:row>
      <xdr:rowOff>28575</xdr:rowOff>
    </xdr:from>
    <xdr:to>
      <xdr:col>3</xdr:col>
      <xdr:colOff>1552575</xdr:colOff>
      <xdr:row>2173</xdr:row>
      <xdr:rowOff>1266825</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2174</xdr:row>
      <xdr:rowOff>28575</xdr:rowOff>
    </xdr:from>
    <xdr:to>
      <xdr:col>3</xdr:col>
      <xdr:colOff>1552575</xdr:colOff>
      <xdr:row>2174</xdr:row>
      <xdr:rowOff>1266825</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2175</xdr:row>
      <xdr:rowOff>38100</xdr:rowOff>
    </xdr:from>
    <xdr:to>
      <xdr:col>3</xdr:col>
      <xdr:colOff>1552575</xdr:colOff>
      <xdr:row>2176</xdr:row>
      <xdr:rowOff>638175</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2177</xdr:row>
      <xdr:rowOff>38100</xdr:rowOff>
    </xdr:from>
    <xdr:to>
      <xdr:col>3</xdr:col>
      <xdr:colOff>1552575</xdr:colOff>
      <xdr:row>2178</xdr:row>
      <xdr:rowOff>638175</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2179</xdr:row>
      <xdr:rowOff>28575</xdr:rowOff>
    </xdr:from>
    <xdr:to>
      <xdr:col>3</xdr:col>
      <xdr:colOff>1552575</xdr:colOff>
      <xdr:row>2182</xdr:row>
      <xdr:rowOff>209550</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2183</xdr:row>
      <xdr:rowOff>28575</xdr:rowOff>
    </xdr:from>
    <xdr:to>
      <xdr:col>3</xdr:col>
      <xdr:colOff>1552575</xdr:colOff>
      <xdr:row>2187</xdr:row>
      <xdr:rowOff>333375</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2188</xdr:row>
      <xdr:rowOff>28575</xdr:rowOff>
    </xdr:from>
    <xdr:to>
      <xdr:col>3</xdr:col>
      <xdr:colOff>1552575</xdr:colOff>
      <xdr:row>2190</xdr:row>
      <xdr:rowOff>419100</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2191</xdr:row>
      <xdr:rowOff>28575</xdr:rowOff>
    </xdr:from>
    <xdr:to>
      <xdr:col>3</xdr:col>
      <xdr:colOff>1552575</xdr:colOff>
      <xdr:row>2194</xdr:row>
      <xdr:rowOff>209550</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2195</xdr:row>
      <xdr:rowOff>28575</xdr:rowOff>
    </xdr:from>
    <xdr:to>
      <xdr:col>3</xdr:col>
      <xdr:colOff>1552575</xdr:colOff>
      <xdr:row>2198</xdr:row>
      <xdr:rowOff>209550</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2199</xdr:row>
      <xdr:rowOff>38100</xdr:rowOff>
    </xdr:from>
    <xdr:to>
      <xdr:col>3</xdr:col>
      <xdr:colOff>1552575</xdr:colOff>
      <xdr:row>2200</xdr:row>
      <xdr:rowOff>638175</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2201</xdr:row>
      <xdr:rowOff>28575</xdr:rowOff>
    </xdr:from>
    <xdr:to>
      <xdr:col>3</xdr:col>
      <xdr:colOff>1552575</xdr:colOff>
      <xdr:row>2201</xdr:row>
      <xdr:rowOff>1266825</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2202</xdr:row>
      <xdr:rowOff>28575</xdr:rowOff>
    </xdr:from>
    <xdr:to>
      <xdr:col>3</xdr:col>
      <xdr:colOff>1552575</xdr:colOff>
      <xdr:row>2202</xdr:row>
      <xdr:rowOff>1266825</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2203</xdr:row>
      <xdr:rowOff>28575</xdr:rowOff>
    </xdr:from>
    <xdr:to>
      <xdr:col>3</xdr:col>
      <xdr:colOff>1552575</xdr:colOff>
      <xdr:row>2207</xdr:row>
      <xdr:rowOff>333375</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2208</xdr:row>
      <xdr:rowOff>38100</xdr:rowOff>
    </xdr:from>
    <xdr:to>
      <xdr:col>3</xdr:col>
      <xdr:colOff>1552575</xdr:colOff>
      <xdr:row>2209</xdr:row>
      <xdr:rowOff>638175</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2210</xdr:row>
      <xdr:rowOff>38100</xdr:rowOff>
    </xdr:from>
    <xdr:to>
      <xdr:col>3</xdr:col>
      <xdr:colOff>1552575</xdr:colOff>
      <xdr:row>2211</xdr:row>
      <xdr:rowOff>638175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2212</xdr:row>
      <xdr:rowOff>28575</xdr:rowOff>
    </xdr:from>
    <xdr:to>
      <xdr:col>3</xdr:col>
      <xdr:colOff>1552575</xdr:colOff>
      <xdr:row>2214</xdr:row>
      <xdr:rowOff>419100</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2215</xdr:row>
      <xdr:rowOff>28575</xdr:rowOff>
    </xdr:from>
    <xdr:to>
      <xdr:col>3</xdr:col>
      <xdr:colOff>1552575</xdr:colOff>
      <xdr:row>2217</xdr:row>
      <xdr:rowOff>419100</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2218</xdr:row>
      <xdr:rowOff>28575</xdr:rowOff>
    </xdr:from>
    <xdr:to>
      <xdr:col>3</xdr:col>
      <xdr:colOff>1552575</xdr:colOff>
      <xdr:row>2221</xdr:row>
      <xdr:rowOff>209550</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2222</xdr:row>
      <xdr:rowOff>28575</xdr:rowOff>
    </xdr:from>
    <xdr:to>
      <xdr:col>3</xdr:col>
      <xdr:colOff>1552575</xdr:colOff>
      <xdr:row>2222</xdr:row>
      <xdr:rowOff>1266825</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2223</xdr:row>
      <xdr:rowOff>28575</xdr:rowOff>
    </xdr:from>
    <xdr:to>
      <xdr:col>3</xdr:col>
      <xdr:colOff>1552575</xdr:colOff>
      <xdr:row>2227</xdr:row>
      <xdr:rowOff>333375</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2228</xdr:row>
      <xdr:rowOff>28575</xdr:rowOff>
    </xdr:from>
    <xdr:to>
      <xdr:col>3</xdr:col>
      <xdr:colOff>1552575</xdr:colOff>
      <xdr:row>2232</xdr:row>
      <xdr:rowOff>333375</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2233</xdr:row>
      <xdr:rowOff>28575</xdr:rowOff>
    </xdr:from>
    <xdr:to>
      <xdr:col>3</xdr:col>
      <xdr:colOff>1552575</xdr:colOff>
      <xdr:row>2233</xdr:row>
      <xdr:rowOff>1266825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2234</xdr:row>
      <xdr:rowOff>28575</xdr:rowOff>
    </xdr:from>
    <xdr:to>
      <xdr:col>3</xdr:col>
      <xdr:colOff>1552575</xdr:colOff>
      <xdr:row>2239</xdr:row>
      <xdr:rowOff>209550</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2240</xdr:row>
      <xdr:rowOff>28575</xdr:rowOff>
    </xdr:from>
    <xdr:to>
      <xdr:col>3</xdr:col>
      <xdr:colOff>1552575</xdr:colOff>
      <xdr:row>2244</xdr:row>
      <xdr:rowOff>333375</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2245</xdr:row>
      <xdr:rowOff>28575</xdr:rowOff>
    </xdr:from>
    <xdr:to>
      <xdr:col>3</xdr:col>
      <xdr:colOff>1552575</xdr:colOff>
      <xdr:row>2247</xdr:row>
      <xdr:rowOff>419100</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2248</xdr:row>
      <xdr:rowOff>28575</xdr:rowOff>
    </xdr:from>
    <xdr:to>
      <xdr:col>3</xdr:col>
      <xdr:colOff>1552575</xdr:colOff>
      <xdr:row>2251</xdr:row>
      <xdr:rowOff>209550</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2252</xdr:row>
      <xdr:rowOff>28575</xdr:rowOff>
    </xdr:from>
    <xdr:to>
      <xdr:col>3</xdr:col>
      <xdr:colOff>1552575</xdr:colOff>
      <xdr:row>2255</xdr:row>
      <xdr:rowOff>209550</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2256</xdr:row>
      <xdr:rowOff>38100</xdr:rowOff>
    </xdr:from>
    <xdr:to>
      <xdr:col>3</xdr:col>
      <xdr:colOff>1552575</xdr:colOff>
      <xdr:row>2257</xdr:row>
      <xdr:rowOff>638175</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2258</xdr:row>
      <xdr:rowOff>28575</xdr:rowOff>
    </xdr:from>
    <xdr:to>
      <xdr:col>3</xdr:col>
      <xdr:colOff>1552575</xdr:colOff>
      <xdr:row>2262</xdr:row>
      <xdr:rowOff>333375</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2263</xdr:row>
      <xdr:rowOff>28575</xdr:rowOff>
    </xdr:from>
    <xdr:to>
      <xdr:col>3</xdr:col>
      <xdr:colOff>1552575</xdr:colOff>
      <xdr:row>2267</xdr:row>
      <xdr:rowOff>333375</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2268</xdr:row>
      <xdr:rowOff>28575</xdr:rowOff>
    </xdr:from>
    <xdr:to>
      <xdr:col>3</xdr:col>
      <xdr:colOff>1552575</xdr:colOff>
      <xdr:row>2270</xdr:row>
      <xdr:rowOff>419100</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2271</xdr:row>
      <xdr:rowOff>28575</xdr:rowOff>
    </xdr:from>
    <xdr:to>
      <xdr:col>3</xdr:col>
      <xdr:colOff>1552575</xdr:colOff>
      <xdr:row>2274</xdr:row>
      <xdr:rowOff>209550</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2275</xdr:row>
      <xdr:rowOff>28575</xdr:rowOff>
    </xdr:from>
    <xdr:to>
      <xdr:col>3</xdr:col>
      <xdr:colOff>1552575</xdr:colOff>
      <xdr:row>2277</xdr:row>
      <xdr:rowOff>419100</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2278</xdr:row>
      <xdr:rowOff>28575</xdr:rowOff>
    </xdr:from>
    <xdr:to>
      <xdr:col>3</xdr:col>
      <xdr:colOff>1552575</xdr:colOff>
      <xdr:row>2282</xdr:row>
      <xdr:rowOff>333375</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2283</xdr:row>
      <xdr:rowOff>38100</xdr:rowOff>
    </xdr:from>
    <xdr:to>
      <xdr:col>3</xdr:col>
      <xdr:colOff>1552575</xdr:colOff>
      <xdr:row>2284</xdr:row>
      <xdr:rowOff>638175</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2285</xdr:row>
      <xdr:rowOff>28575</xdr:rowOff>
    </xdr:from>
    <xdr:to>
      <xdr:col>3</xdr:col>
      <xdr:colOff>1552575</xdr:colOff>
      <xdr:row>2289</xdr:row>
      <xdr:rowOff>333375</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2290</xdr:row>
      <xdr:rowOff>28575</xdr:rowOff>
    </xdr:from>
    <xdr:to>
      <xdr:col>3</xdr:col>
      <xdr:colOff>1552575</xdr:colOff>
      <xdr:row>2295</xdr:row>
      <xdr:rowOff>209550</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2296</xdr:row>
      <xdr:rowOff>28575</xdr:rowOff>
    </xdr:from>
    <xdr:to>
      <xdr:col>3</xdr:col>
      <xdr:colOff>1552575</xdr:colOff>
      <xdr:row>2296</xdr:row>
      <xdr:rowOff>1266825</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2297</xdr:row>
      <xdr:rowOff>28575</xdr:rowOff>
    </xdr:from>
    <xdr:to>
      <xdr:col>3</xdr:col>
      <xdr:colOff>1552575</xdr:colOff>
      <xdr:row>2297</xdr:row>
      <xdr:rowOff>1266825</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2298</xdr:row>
      <xdr:rowOff>28575</xdr:rowOff>
    </xdr:from>
    <xdr:to>
      <xdr:col>3</xdr:col>
      <xdr:colOff>1552575</xdr:colOff>
      <xdr:row>2301</xdr:row>
      <xdr:rowOff>209550</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2302</xdr:row>
      <xdr:rowOff>28575</xdr:rowOff>
    </xdr:from>
    <xdr:to>
      <xdr:col>3</xdr:col>
      <xdr:colOff>1552575</xdr:colOff>
      <xdr:row>2302</xdr:row>
      <xdr:rowOff>1266825</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2303</xdr:row>
      <xdr:rowOff>28575</xdr:rowOff>
    </xdr:from>
    <xdr:to>
      <xdr:col>3</xdr:col>
      <xdr:colOff>1552575</xdr:colOff>
      <xdr:row>2303</xdr:row>
      <xdr:rowOff>1266825</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2304</xdr:row>
      <xdr:rowOff>38100</xdr:rowOff>
    </xdr:from>
    <xdr:to>
      <xdr:col>3</xdr:col>
      <xdr:colOff>1552575</xdr:colOff>
      <xdr:row>2305</xdr:row>
      <xdr:rowOff>638175</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2306</xdr:row>
      <xdr:rowOff>28575</xdr:rowOff>
    </xdr:from>
    <xdr:to>
      <xdr:col>3</xdr:col>
      <xdr:colOff>1552575</xdr:colOff>
      <xdr:row>2306</xdr:row>
      <xdr:rowOff>1266825</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2307</xdr:row>
      <xdr:rowOff>28575</xdr:rowOff>
    </xdr:from>
    <xdr:to>
      <xdr:col>3</xdr:col>
      <xdr:colOff>1552575</xdr:colOff>
      <xdr:row>2307</xdr:row>
      <xdr:rowOff>1266825</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2308</xdr:row>
      <xdr:rowOff>28575</xdr:rowOff>
    </xdr:from>
    <xdr:to>
      <xdr:col>3</xdr:col>
      <xdr:colOff>1552575</xdr:colOff>
      <xdr:row>2308</xdr:row>
      <xdr:rowOff>1266825</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2309</xdr:row>
      <xdr:rowOff>38100</xdr:rowOff>
    </xdr:from>
    <xdr:to>
      <xdr:col>3</xdr:col>
      <xdr:colOff>1552575</xdr:colOff>
      <xdr:row>2310</xdr:row>
      <xdr:rowOff>638175</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2311</xdr:row>
      <xdr:rowOff>38100</xdr:rowOff>
    </xdr:from>
    <xdr:to>
      <xdr:col>3</xdr:col>
      <xdr:colOff>1552575</xdr:colOff>
      <xdr:row>2312</xdr:row>
      <xdr:rowOff>638175</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2313</xdr:row>
      <xdr:rowOff>28575</xdr:rowOff>
    </xdr:from>
    <xdr:to>
      <xdr:col>3</xdr:col>
      <xdr:colOff>1552575</xdr:colOff>
      <xdr:row>2315</xdr:row>
      <xdr:rowOff>419100</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2316</xdr:row>
      <xdr:rowOff>28575</xdr:rowOff>
    </xdr:from>
    <xdr:to>
      <xdr:col>3</xdr:col>
      <xdr:colOff>1552575</xdr:colOff>
      <xdr:row>2320</xdr:row>
      <xdr:rowOff>333375</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2321</xdr:row>
      <xdr:rowOff>28575</xdr:rowOff>
    </xdr:from>
    <xdr:to>
      <xdr:col>3</xdr:col>
      <xdr:colOff>1552575</xdr:colOff>
      <xdr:row>2321</xdr:row>
      <xdr:rowOff>1266825</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2322</xdr:row>
      <xdr:rowOff>28575</xdr:rowOff>
    </xdr:from>
    <xdr:to>
      <xdr:col>3</xdr:col>
      <xdr:colOff>1552575</xdr:colOff>
      <xdr:row>2322</xdr:row>
      <xdr:rowOff>1266825</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2323</xdr:row>
      <xdr:rowOff>28575</xdr:rowOff>
    </xdr:from>
    <xdr:to>
      <xdr:col>3</xdr:col>
      <xdr:colOff>1552575</xdr:colOff>
      <xdr:row>2326</xdr:row>
      <xdr:rowOff>209550</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2327</xdr:row>
      <xdr:rowOff>28575</xdr:rowOff>
    </xdr:from>
    <xdr:to>
      <xdr:col>3</xdr:col>
      <xdr:colOff>1552575</xdr:colOff>
      <xdr:row>2327</xdr:row>
      <xdr:rowOff>1266825</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2328</xdr:row>
      <xdr:rowOff>28575</xdr:rowOff>
    </xdr:from>
    <xdr:to>
      <xdr:col>3</xdr:col>
      <xdr:colOff>1552575</xdr:colOff>
      <xdr:row>2328</xdr:row>
      <xdr:rowOff>1266825</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2329</xdr:row>
      <xdr:rowOff>38100</xdr:rowOff>
    </xdr:from>
    <xdr:to>
      <xdr:col>3</xdr:col>
      <xdr:colOff>1552575</xdr:colOff>
      <xdr:row>2330</xdr:row>
      <xdr:rowOff>638175</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2331</xdr:row>
      <xdr:rowOff>28575</xdr:rowOff>
    </xdr:from>
    <xdr:to>
      <xdr:col>3</xdr:col>
      <xdr:colOff>1552575</xdr:colOff>
      <xdr:row>2335</xdr:row>
      <xdr:rowOff>333375</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2336</xdr:row>
      <xdr:rowOff>28575</xdr:rowOff>
    </xdr:from>
    <xdr:to>
      <xdr:col>3</xdr:col>
      <xdr:colOff>1552575</xdr:colOff>
      <xdr:row>2336</xdr:row>
      <xdr:rowOff>1266825</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2337</xdr:row>
      <xdr:rowOff>28575</xdr:rowOff>
    </xdr:from>
    <xdr:to>
      <xdr:col>3</xdr:col>
      <xdr:colOff>1552575</xdr:colOff>
      <xdr:row>2339</xdr:row>
      <xdr:rowOff>419100</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2340</xdr:row>
      <xdr:rowOff>28575</xdr:rowOff>
    </xdr:from>
    <xdr:to>
      <xdr:col>3</xdr:col>
      <xdr:colOff>1552575</xdr:colOff>
      <xdr:row>2342</xdr:row>
      <xdr:rowOff>419100</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2343</xdr:row>
      <xdr:rowOff>28575</xdr:rowOff>
    </xdr:from>
    <xdr:to>
      <xdr:col>3</xdr:col>
      <xdr:colOff>1552575</xdr:colOff>
      <xdr:row>2347</xdr:row>
      <xdr:rowOff>333375</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2348</xdr:row>
      <xdr:rowOff>28575</xdr:rowOff>
    </xdr:from>
    <xdr:to>
      <xdr:col>3</xdr:col>
      <xdr:colOff>1552575</xdr:colOff>
      <xdr:row>2352</xdr:row>
      <xdr:rowOff>333375</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2353</xdr:row>
      <xdr:rowOff>28575</xdr:rowOff>
    </xdr:from>
    <xdr:to>
      <xdr:col>3</xdr:col>
      <xdr:colOff>1552575</xdr:colOff>
      <xdr:row>2355</xdr:row>
      <xdr:rowOff>419100</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2356</xdr:row>
      <xdr:rowOff>28575</xdr:rowOff>
    </xdr:from>
    <xdr:to>
      <xdr:col>3</xdr:col>
      <xdr:colOff>1552575</xdr:colOff>
      <xdr:row>2359</xdr:row>
      <xdr:rowOff>209550</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2360</xdr:row>
      <xdr:rowOff>28575</xdr:rowOff>
    </xdr:from>
    <xdr:to>
      <xdr:col>3</xdr:col>
      <xdr:colOff>1552575</xdr:colOff>
      <xdr:row>2360</xdr:row>
      <xdr:rowOff>1266825</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2361</xdr:row>
      <xdr:rowOff>28575</xdr:rowOff>
    </xdr:from>
    <xdr:to>
      <xdr:col>3</xdr:col>
      <xdr:colOff>1552575</xdr:colOff>
      <xdr:row>2361</xdr:row>
      <xdr:rowOff>1266825</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2362</xdr:row>
      <xdr:rowOff>28575</xdr:rowOff>
    </xdr:from>
    <xdr:to>
      <xdr:col>3</xdr:col>
      <xdr:colOff>1552575</xdr:colOff>
      <xdr:row>2364</xdr:row>
      <xdr:rowOff>419100</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2365</xdr:row>
      <xdr:rowOff>38100</xdr:rowOff>
    </xdr:from>
    <xdr:to>
      <xdr:col>3</xdr:col>
      <xdr:colOff>1552575</xdr:colOff>
      <xdr:row>2366</xdr:row>
      <xdr:rowOff>638175</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2367</xdr:row>
      <xdr:rowOff>28575</xdr:rowOff>
    </xdr:from>
    <xdr:to>
      <xdr:col>3</xdr:col>
      <xdr:colOff>1552575</xdr:colOff>
      <xdr:row>2367</xdr:row>
      <xdr:rowOff>1266825</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2368</xdr:row>
      <xdr:rowOff>28575</xdr:rowOff>
    </xdr:from>
    <xdr:to>
      <xdr:col>3</xdr:col>
      <xdr:colOff>1552575</xdr:colOff>
      <xdr:row>2368</xdr:row>
      <xdr:rowOff>1266825</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twoCellAnchor>
    <xdr:from>
      <xdr:col>3</xdr:col>
      <xdr:colOff>114300</xdr:colOff>
      <xdr:row>2369</xdr:row>
      <xdr:rowOff>28575</xdr:rowOff>
    </xdr:from>
    <xdr:to>
      <xdr:col>3</xdr:col>
      <xdr:colOff>1552575</xdr:colOff>
      <xdr:row>2369</xdr:row>
      <xdr:rowOff>1266825</xdr:rowOff>
    </xdr:to>
    <xdr:pic>
      <xdr:nvPicPr>
        <xdr:cNvPr id="943" name="Имя " descr="Descr ">
          <a:extLst>
            <a:ext uri="{FF2B5EF4-FFF2-40B4-BE49-F238E27FC236}">
              <a16:creationId xmlns:a16="http://schemas.microsoft.com/office/drawing/2014/main" id="{00000000-0008-0000-0000-0000AF030000}"/>
            </a:ext>
          </a:extLst>
        </xdr:cNvPr>
        <xdr:cNvPicPr>
          <a:picLocks noChangeAspect="1"/>
        </xdr:cNvPicPr>
      </xdr:nvPicPr>
      <xdr:blipFill>
        <a:blip xmlns:r="http://schemas.openxmlformats.org/officeDocument/2006/relationships" r:embed="rId942"/>
        <a:stretch>
          <a:fillRect/>
        </a:stretch>
      </xdr:blipFill>
      <xdr:spPr>
        <a:prstGeom prst="rect">
          <a:avLst/>
        </a:prstGeom>
        <a:ln w="9525">
          <a:solidFill>
            <a:srgbClr val="000000"/>
          </a:solidFill>
          <a:prstDash val="solid"/>
        </a:ln>
      </xdr:spPr>
    </xdr:pic>
    <xdr:clientData/>
  </xdr:twoCellAnchor>
  <xdr:twoCellAnchor>
    <xdr:from>
      <xdr:col>3</xdr:col>
      <xdr:colOff>114300</xdr:colOff>
      <xdr:row>2370</xdr:row>
      <xdr:rowOff>28575</xdr:rowOff>
    </xdr:from>
    <xdr:to>
      <xdr:col>3</xdr:col>
      <xdr:colOff>1552575</xdr:colOff>
      <xdr:row>2372</xdr:row>
      <xdr:rowOff>419100</xdr:rowOff>
    </xdr:to>
    <xdr:pic>
      <xdr:nvPicPr>
        <xdr:cNvPr id="944" name="Имя " descr="Descr ">
          <a:extLst>
            <a:ext uri="{FF2B5EF4-FFF2-40B4-BE49-F238E27FC236}">
              <a16:creationId xmlns:a16="http://schemas.microsoft.com/office/drawing/2014/main" id="{00000000-0008-0000-0000-0000B0030000}"/>
            </a:ext>
          </a:extLst>
        </xdr:cNvPr>
        <xdr:cNvPicPr>
          <a:picLocks noChangeAspect="1"/>
        </xdr:cNvPicPr>
      </xdr:nvPicPr>
      <xdr:blipFill>
        <a:blip xmlns:r="http://schemas.openxmlformats.org/officeDocument/2006/relationships" r:embed="rId943"/>
        <a:stretch>
          <a:fillRect/>
        </a:stretch>
      </xdr:blipFill>
      <xdr:spPr>
        <a:prstGeom prst="rect">
          <a:avLst/>
        </a:prstGeom>
        <a:ln w="9525">
          <a:solidFill>
            <a:srgbClr val="000000"/>
          </a:solidFill>
          <a:prstDash val="solid"/>
        </a:ln>
      </xdr:spPr>
    </xdr:pic>
    <xdr:clientData/>
  </xdr:twoCellAnchor>
  <xdr:twoCellAnchor>
    <xdr:from>
      <xdr:col>3</xdr:col>
      <xdr:colOff>114300</xdr:colOff>
      <xdr:row>2373</xdr:row>
      <xdr:rowOff>28575</xdr:rowOff>
    </xdr:from>
    <xdr:to>
      <xdr:col>3</xdr:col>
      <xdr:colOff>1552575</xdr:colOff>
      <xdr:row>2375</xdr:row>
      <xdr:rowOff>419100</xdr:rowOff>
    </xdr:to>
    <xdr:pic>
      <xdr:nvPicPr>
        <xdr:cNvPr id="945" name="Имя " descr="Descr ">
          <a:extLst>
            <a:ext uri="{FF2B5EF4-FFF2-40B4-BE49-F238E27FC236}">
              <a16:creationId xmlns:a16="http://schemas.microsoft.com/office/drawing/2014/main" id="{00000000-0008-0000-0000-0000B1030000}"/>
            </a:ext>
          </a:extLst>
        </xdr:cNvPr>
        <xdr:cNvPicPr>
          <a:picLocks noChangeAspect="1"/>
        </xdr:cNvPicPr>
      </xdr:nvPicPr>
      <xdr:blipFill>
        <a:blip xmlns:r="http://schemas.openxmlformats.org/officeDocument/2006/relationships" r:embed="rId944"/>
        <a:stretch>
          <a:fillRect/>
        </a:stretch>
      </xdr:blipFill>
      <xdr:spPr>
        <a:prstGeom prst="rect">
          <a:avLst/>
        </a:prstGeom>
        <a:ln w="9525">
          <a:solidFill>
            <a:srgbClr val="000000"/>
          </a:solidFill>
          <a:prstDash val="solid"/>
        </a:ln>
      </xdr:spPr>
    </xdr:pic>
    <xdr:clientData/>
  </xdr:twoCellAnchor>
  <xdr:twoCellAnchor>
    <xdr:from>
      <xdr:col>3</xdr:col>
      <xdr:colOff>114300</xdr:colOff>
      <xdr:row>2376</xdr:row>
      <xdr:rowOff>28575</xdr:rowOff>
    </xdr:from>
    <xdr:to>
      <xdr:col>3</xdr:col>
      <xdr:colOff>1552575</xdr:colOff>
      <xdr:row>2378</xdr:row>
      <xdr:rowOff>419100</xdr:rowOff>
    </xdr:to>
    <xdr:pic>
      <xdr:nvPicPr>
        <xdr:cNvPr id="946" name="Имя " descr="Descr ">
          <a:extLst>
            <a:ext uri="{FF2B5EF4-FFF2-40B4-BE49-F238E27FC236}">
              <a16:creationId xmlns:a16="http://schemas.microsoft.com/office/drawing/2014/main" id="{00000000-0008-0000-0000-0000B2030000}"/>
            </a:ext>
          </a:extLst>
        </xdr:cNvPr>
        <xdr:cNvPicPr>
          <a:picLocks noChangeAspect="1"/>
        </xdr:cNvPicPr>
      </xdr:nvPicPr>
      <xdr:blipFill>
        <a:blip xmlns:r="http://schemas.openxmlformats.org/officeDocument/2006/relationships" r:embed="rId945"/>
        <a:stretch>
          <a:fillRect/>
        </a:stretch>
      </xdr:blipFill>
      <xdr:spPr>
        <a:prstGeom prst="rect">
          <a:avLst/>
        </a:prstGeom>
        <a:ln w="9525">
          <a:solidFill>
            <a:srgbClr val="000000"/>
          </a:solidFill>
          <a:prstDash val="solid"/>
        </a:ln>
      </xdr:spPr>
    </xdr:pic>
    <xdr:clientData/>
  </xdr:twoCellAnchor>
  <xdr:twoCellAnchor>
    <xdr:from>
      <xdr:col>3</xdr:col>
      <xdr:colOff>114300</xdr:colOff>
      <xdr:row>2379</xdr:row>
      <xdr:rowOff>28575</xdr:rowOff>
    </xdr:from>
    <xdr:to>
      <xdr:col>3</xdr:col>
      <xdr:colOff>1552575</xdr:colOff>
      <xdr:row>2379</xdr:row>
      <xdr:rowOff>1266825</xdr:rowOff>
    </xdr:to>
    <xdr:pic>
      <xdr:nvPicPr>
        <xdr:cNvPr id="947" name="Имя " descr="Descr ">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946"/>
        <a:stretch>
          <a:fillRect/>
        </a:stretch>
      </xdr:blipFill>
      <xdr:spPr>
        <a:prstGeom prst="rect">
          <a:avLst/>
        </a:prstGeom>
        <a:ln w="9525">
          <a:solidFill>
            <a:srgbClr val="000000"/>
          </a:solidFill>
          <a:prstDash val="solid"/>
        </a:ln>
      </xdr:spPr>
    </xdr:pic>
    <xdr:clientData/>
  </xdr:twoCellAnchor>
  <xdr:twoCellAnchor>
    <xdr:from>
      <xdr:col>3</xdr:col>
      <xdr:colOff>114300</xdr:colOff>
      <xdr:row>2380</xdr:row>
      <xdr:rowOff>38100</xdr:rowOff>
    </xdr:from>
    <xdr:to>
      <xdr:col>3</xdr:col>
      <xdr:colOff>1552575</xdr:colOff>
      <xdr:row>2381</xdr:row>
      <xdr:rowOff>638175</xdr:rowOff>
    </xdr:to>
    <xdr:pic>
      <xdr:nvPicPr>
        <xdr:cNvPr id="948" name="Имя " descr="Descr ">
          <a:extLst>
            <a:ext uri="{FF2B5EF4-FFF2-40B4-BE49-F238E27FC236}">
              <a16:creationId xmlns:a16="http://schemas.microsoft.com/office/drawing/2014/main" id="{00000000-0008-0000-0000-0000B4030000}"/>
            </a:ext>
          </a:extLst>
        </xdr:cNvPr>
        <xdr:cNvPicPr>
          <a:picLocks noChangeAspect="1"/>
        </xdr:cNvPicPr>
      </xdr:nvPicPr>
      <xdr:blipFill>
        <a:blip xmlns:r="http://schemas.openxmlformats.org/officeDocument/2006/relationships" r:embed="rId947"/>
        <a:stretch>
          <a:fillRect/>
        </a:stretch>
      </xdr:blipFill>
      <xdr:spPr>
        <a:prstGeom prst="rect">
          <a:avLst/>
        </a:prstGeom>
        <a:ln w="9525">
          <a:solidFill>
            <a:srgbClr val="000000"/>
          </a:solidFill>
          <a:prstDash val="solid"/>
        </a:ln>
      </xdr:spPr>
    </xdr:pic>
    <xdr:clientData/>
  </xdr:twoCellAnchor>
  <xdr:twoCellAnchor>
    <xdr:from>
      <xdr:col>3</xdr:col>
      <xdr:colOff>114300</xdr:colOff>
      <xdr:row>2382</xdr:row>
      <xdr:rowOff>28575</xdr:rowOff>
    </xdr:from>
    <xdr:to>
      <xdr:col>3</xdr:col>
      <xdr:colOff>1552575</xdr:colOff>
      <xdr:row>2385</xdr:row>
      <xdr:rowOff>209550</xdr:rowOff>
    </xdr:to>
    <xdr:pic>
      <xdr:nvPicPr>
        <xdr:cNvPr id="949" name="Имя " descr="Descr ">
          <a:extLst>
            <a:ext uri="{FF2B5EF4-FFF2-40B4-BE49-F238E27FC236}">
              <a16:creationId xmlns:a16="http://schemas.microsoft.com/office/drawing/2014/main" id="{00000000-0008-0000-0000-0000B5030000}"/>
            </a:ext>
          </a:extLst>
        </xdr:cNvPr>
        <xdr:cNvPicPr>
          <a:picLocks noChangeAspect="1"/>
        </xdr:cNvPicPr>
      </xdr:nvPicPr>
      <xdr:blipFill>
        <a:blip xmlns:r="http://schemas.openxmlformats.org/officeDocument/2006/relationships" r:embed="rId948"/>
        <a:stretch>
          <a:fillRect/>
        </a:stretch>
      </xdr:blipFill>
      <xdr:spPr>
        <a:prstGeom prst="rect">
          <a:avLst/>
        </a:prstGeom>
        <a:ln w="9525">
          <a:solidFill>
            <a:srgbClr val="000000"/>
          </a:solidFill>
          <a:prstDash val="solid"/>
        </a:ln>
      </xdr:spPr>
    </xdr:pic>
    <xdr:clientData/>
  </xdr:twoCellAnchor>
  <xdr:twoCellAnchor>
    <xdr:from>
      <xdr:col>3</xdr:col>
      <xdr:colOff>114300</xdr:colOff>
      <xdr:row>2386</xdr:row>
      <xdr:rowOff>28575</xdr:rowOff>
    </xdr:from>
    <xdr:to>
      <xdr:col>3</xdr:col>
      <xdr:colOff>1552575</xdr:colOff>
      <xdr:row>2386</xdr:row>
      <xdr:rowOff>1266825</xdr:rowOff>
    </xdr:to>
    <xdr:pic>
      <xdr:nvPicPr>
        <xdr:cNvPr id="950" name="Имя " descr="Descr ">
          <a:extLst>
            <a:ext uri="{FF2B5EF4-FFF2-40B4-BE49-F238E27FC236}">
              <a16:creationId xmlns:a16="http://schemas.microsoft.com/office/drawing/2014/main" id="{00000000-0008-0000-0000-0000B6030000}"/>
            </a:ext>
          </a:extLst>
        </xdr:cNvPr>
        <xdr:cNvPicPr>
          <a:picLocks noChangeAspect="1"/>
        </xdr:cNvPicPr>
      </xdr:nvPicPr>
      <xdr:blipFill>
        <a:blip xmlns:r="http://schemas.openxmlformats.org/officeDocument/2006/relationships" r:embed="rId949"/>
        <a:stretch>
          <a:fillRect/>
        </a:stretch>
      </xdr:blipFill>
      <xdr:spPr>
        <a:prstGeom prst="rect">
          <a:avLst/>
        </a:prstGeom>
        <a:ln w="9525">
          <a:solidFill>
            <a:srgbClr val="000000"/>
          </a:solidFill>
          <a:prstDash val="solid"/>
        </a:ln>
      </xdr:spPr>
    </xdr:pic>
    <xdr:clientData/>
  </xdr:twoCellAnchor>
  <xdr:twoCellAnchor>
    <xdr:from>
      <xdr:col>3</xdr:col>
      <xdr:colOff>114300</xdr:colOff>
      <xdr:row>2387</xdr:row>
      <xdr:rowOff>38100</xdr:rowOff>
    </xdr:from>
    <xdr:to>
      <xdr:col>3</xdr:col>
      <xdr:colOff>1552575</xdr:colOff>
      <xdr:row>2388</xdr:row>
      <xdr:rowOff>638175</xdr:rowOff>
    </xdr:to>
    <xdr:pic>
      <xdr:nvPicPr>
        <xdr:cNvPr id="951" name="Имя " descr="Descr ">
          <a:extLst>
            <a:ext uri="{FF2B5EF4-FFF2-40B4-BE49-F238E27FC236}">
              <a16:creationId xmlns:a16="http://schemas.microsoft.com/office/drawing/2014/main" id="{00000000-0008-0000-0000-0000B7030000}"/>
            </a:ext>
          </a:extLst>
        </xdr:cNvPr>
        <xdr:cNvPicPr>
          <a:picLocks noChangeAspect="1"/>
        </xdr:cNvPicPr>
      </xdr:nvPicPr>
      <xdr:blipFill>
        <a:blip xmlns:r="http://schemas.openxmlformats.org/officeDocument/2006/relationships" r:embed="rId950"/>
        <a:stretch>
          <a:fillRect/>
        </a:stretch>
      </xdr:blipFill>
      <xdr:spPr>
        <a:prstGeom prst="rect">
          <a:avLst/>
        </a:prstGeom>
        <a:ln w="9525">
          <a:solidFill>
            <a:srgbClr val="000000"/>
          </a:solidFill>
          <a:prstDash val="solid"/>
        </a:ln>
      </xdr:spPr>
    </xdr:pic>
    <xdr:clientData/>
  </xdr:twoCellAnchor>
  <xdr:twoCellAnchor>
    <xdr:from>
      <xdr:col>3</xdr:col>
      <xdr:colOff>114300</xdr:colOff>
      <xdr:row>2389</xdr:row>
      <xdr:rowOff>28575</xdr:rowOff>
    </xdr:from>
    <xdr:to>
      <xdr:col>3</xdr:col>
      <xdr:colOff>1552575</xdr:colOff>
      <xdr:row>2392</xdr:row>
      <xdr:rowOff>209550</xdr:rowOff>
    </xdr:to>
    <xdr:pic>
      <xdr:nvPicPr>
        <xdr:cNvPr id="952" name="Имя " descr="Descr ">
          <a:extLst>
            <a:ext uri="{FF2B5EF4-FFF2-40B4-BE49-F238E27FC236}">
              <a16:creationId xmlns:a16="http://schemas.microsoft.com/office/drawing/2014/main" id="{00000000-0008-0000-0000-0000B8030000}"/>
            </a:ext>
          </a:extLst>
        </xdr:cNvPr>
        <xdr:cNvPicPr>
          <a:picLocks noChangeAspect="1"/>
        </xdr:cNvPicPr>
      </xdr:nvPicPr>
      <xdr:blipFill>
        <a:blip xmlns:r="http://schemas.openxmlformats.org/officeDocument/2006/relationships" r:embed="rId951"/>
        <a:stretch>
          <a:fillRect/>
        </a:stretch>
      </xdr:blipFill>
      <xdr:spPr>
        <a:prstGeom prst="rect">
          <a:avLst/>
        </a:prstGeom>
        <a:ln w="9525">
          <a:solidFill>
            <a:srgbClr val="000000"/>
          </a:solidFill>
          <a:prstDash val="solid"/>
        </a:ln>
      </xdr:spPr>
    </xdr:pic>
    <xdr:clientData/>
  </xdr:twoCellAnchor>
  <xdr:twoCellAnchor>
    <xdr:from>
      <xdr:col>3</xdr:col>
      <xdr:colOff>114300</xdr:colOff>
      <xdr:row>2393</xdr:row>
      <xdr:rowOff>38100</xdr:rowOff>
    </xdr:from>
    <xdr:to>
      <xdr:col>3</xdr:col>
      <xdr:colOff>1552575</xdr:colOff>
      <xdr:row>2394</xdr:row>
      <xdr:rowOff>638175</xdr:rowOff>
    </xdr:to>
    <xdr:pic>
      <xdr:nvPicPr>
        <xdr:cNvPr id="953" name="Имя " descr="Descr ">
          <a:extLst>
            <a:ext uri="{FF2B5EF4-FFF2-40B4-BE49-F238E27FC236}">
              <a16:creationId xmlns:a16="http://schemas.microsoft.com/office/drawing/2014/main" id="{00000000-0008-0000-0000-0000B9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2395</xdr:row>
      <xdr:rowOff>28575</xdr:rowOff>
    </xdr:from>
    <xdr:to>
      <xdr:col>3</xdr:col>
      <xdr:colOff>1552575</xdr:colOff>
      <xdr:row>2397</xdr:row>
      <xdr:rowOff>419100</xdr:rowOff>
    </xdr:to>
    <xdr:pic>
      <xdr:nvPicPr>
        <xdr:cNvPr id="954" name="Имя " descr="Descr ">
          <a:extLst>
            <a:ext uri="{FF2B5EF4-FFF2-40B4-BE49-F238E27FC236}">
              <a16:creationId xmlns:a16="http://schemas.microsoft.com/office/drawing/2014/main" id="{00000000-0008-0000-0000-0000BA030000}"/>
            </a:ext>
          </a:extLst>
        </xdr:cNvPr>
        <xdr:cNvPicPr>
          <a:picLocks noChangeAspect="1"/>
        </xdr:cNvPicPr>
      </xdr:nvPicPr>
      <xdr:blipFill>
        <a:blip xmlns:r="http://schemas.openxmlformats.org/officeDocument/2006/relationships" r:embed="rId953"/>
        <a:stretch>
          <a:fillRect/>
        </a:stretch>
      </xdr:blipFill>
      <xdr:spPr>
        <a:prstGeom prst="rect">
          <a:avLst/>
        </a:prstGeom>
        <a:ln w="9525">
          <a:solidFill>
            <a:srgbClr val="000000"/>
          </a:solidFill>
          <a:prstDash val="solid"/>
        </a:ln>
      </xdr:spPr>
    </xdr:pic>
    <xdr:clientData/>
  </xdr:twoCellAnchor>
  <xdr:twoCellAnchor>
    <xdr:from>
      <xdr:col>3</xdr:col>
      <xdr:colOff>114300</xdr:colOff>
      <xdr:row>2398</xdr:row>
      <xdr:rowOff>28575</xdr:rowOff>
    </xdr:from>
    <xdr:to>
      <xdr:col>3</xdr:col>
      <xdr:colOff>1552575</xdr:colOff>
      <xdr:row>2402</xdr:row>
      <xdr:rowOff>333375</xdr:rowOff>
    </xdr:to>
    <xdr:pic>
      <xdr:nvPicPr>
        <xdr:cNvPr id="955" name="Имя " descr="Descr ">
          <a:extLst>
            <a:ext uri="{FF2B5EF4-FFF2-40B4-BE49-F238E27FC236}">
              <a16:creationId xmlns:a16="http://schemas.microsoft.com/office/drawing/2014/main" id="{00000000-0008-0000-0000-0000BB030000}"/>
            </a:ext>
          </a:extLst>
        </xdr:cNvPr>
        <xdr:cNvPicPr>
          <a:picLocks noChangeAspect="1"/>
        </xdr:cNvPicPr>
      </xdr:nvPicPr>
      <xdr:blipFill>
        <a:blip xmlns:r="http://schemas.openxmlformats.org/officeDocument/2006/relationships" r:embed="rId954"/>
        <a:stretch>
          <a:fillRect/>
        </a:stretch>
      </xdr:blipFill>
      <xdr:spPr>
        <a:prstGeom prst="rect">
          <a:avLst/>
        </a:prstGeom>
        <a:ln w="9525">
          <a:solidFill>
            <a:srgbClr val="000000"/>
          </a:solidFill>
          <a:prstDash val="solid"/>
        </a:ln>
      </xdr:spPr>
    </xdr:pic>
    <xdr:clientData/>
  </xdr:twoCellAnchor>
  <xdr:twoCellAnchor>
    <xdr:from>
      <xdr:col>3</xdr:col>
      <xdr:colOff>114300</xdr:colOff>
      <xdr:row>2403</xdr:row>
      <xdr:rowOff>28575</xdr:rowOff>
    </xdr:from>
    <xdr:to>
      <xdr:col>3</xdr:col>
      <xdr:colOff>1552575</xdr:colOff>
      <xdr:row>2405</xdr:row>
      <xdr:rowOff>419100</xdr:rowOff>
    </xdr:to>
    <xdr:pic>
      <xdr:nvPicPr>
        <xdr:cNvPr id="956" name="Имя " descr="Descr ">
          <a:extLst>
            <a:ext uri="{FF2B5EF4-FFF2-40B4-BE49-F238E27FC236}">
              <a16:creationId xmlns:a16="http://schemas.microsoft.com/office/drawing/2014/main" id="{00000000-0008-0000-0000-0000BC030000}"/>
            </a:ext>
          </a:extLst>
        </xdr:cNvPr>
        <xdr:cNvPicPr>
          <a:picLocks noChangeAspect="1"/>
        </xdr:cNvPicPr>
      </xdr:nvPicPr>
      <xdr:blipFill>
        <a:blip xmlns:r="http://schemas.openxmlformats.org/officeDocument/2006/relationships" r:embed="rId955"/>
        <a:stretch>
          <a:fillRect/>
        </a:stretch>
      </xdr:blipFill>
      <xdr:spPr>
        <a:prstGeom prst="rect">
          <a:avLst/>
        </a:prstGeom>
        <a:ln w="9525">
          <a:solidFill>
            <a:srgbClr val="000000"/>
          </a:solidFill>
          <a:prstDash val="solid"/>
        </a:ln>
      </xdr:spPr>
    </xdr:pic>
    <xdr:clientData/>
  </xdr:twoCellAnchor>
  <xdr:twoCellAnchor>
    <xdr:from>
      <xdr:col>3</xdr:col>
      <xdr:colOff>114300</xdr:colOff>
      <xdr:row>2406</xdr:row>
      <xdr:rowOff>28575</xdr:rowOff>
    </xdr:from>
    <xdr:to>
      <xdr:col>3</xdr:col>
      <xdr:colOff>1552575</xdr:colOff>
      <xdr:row>2410</xdr:row>
      <xdr:rowOff>333375</xdr:rowOff>
    </xdr:to>
    <xdr:pic>
      <xdr:nvPicPr>
        <xdr:cNvPr id="957" name="Имя " descr="Descr ">
          <a:extLst>
            <a:ext uri="{FF2B5EF4-FFF2-40B4-BE49-F238E27FC236}">
              <a16:creationId xmlns:a16="http://schemas.microsoft.com/office/drawing/2014/main" id="{00000000-0008-0000-0000-0000BD030000}"/>
            </a:ext>
          </a:extLst>
        </xdr:cNvPr>
        <xdr:cNvPicPr>
          <a:picLocks noChangeAspect="1"/>
        </xdr:cNvPicPr>
      </xdr:nvPicPr>
      <xdr:blipFill>
        <a:blip xmlns:r="http://schemas.openxmlformats.org/officeDocument/2006/relationships" r:embed="rId956"/>
        <a:stretch>
          <a:fillRect/>
        </a:stretch>
      </xdr:blipFill>
      <xdr:spPr>
        <a:prstGeom prst="rect">
          <a:avLst/>
        </a:prstGeom>
        <a:ln w="9525">
          <a:solidFill>
            <a:srgbClr val="000000"/>
          </a:solidFill>
          <a:prstDash val="solid"/>
        </a:ln>
      </xdr:spPr>
    </xdr:pic>
    <xdr:clientData/>
  </xdr:twoCellAnchor>
  <xdr:twoCellAnchor>
    <xdr:from>
      <xdr:col>3</xdr:col>
      <xdr:colOff>114300</xdr:colOff>
      <xdr:row>2411</xdr:row>
      <xdr:rowOff>28575</xdr:rowOff>
    </xdr:from>
    <xdr:to>
      <xdr:col>3</xdr:col>
      <xdr:colOff>1552575</xdr:colOff>
      <xdr:row>2415</xdr:row>
      <xdr:rowOff>333375</xdr:rowOff>
    </xdr:to>
    <xdr:pic>
      <xdr:nvPicPr>
        <xdr:cNvPr id="958" name="Имя " descr="Descr ">
          <a:extLst>
            <a:ext uri="{FF2B5EF4-FFF2-40B4-BE49-F238E27FC236}">
              <a16:creationId xmlns:a16="http://schemas.microsoft.com/office/drawing/2014/main" id="{00000000-0008-0000-0000-0000BE030000}"/>
            </a:ext>
          </a:extLst>
        </xdr:cNvPr>
        <xdr:cNvPicPr>
          <a:picLocks noChangeAspect="1"/>
        </xdr:cNvPicPr>
      </xdr:nvPicPr>
      <xdr:blipFill>
        <a:blip xmlns:r="http://schemas.openxmlformats.org/officeDocument/2006/relationships" r:embed="rId957"/>
        <a:stretch>
          <a:fillRect/>
        </a:stretch>
      </xdr:blipFill>
      <xdr:spPr>
        <a:prstGeom prst="rect">
          <a:avLst/>
        </a:prstGeom>
        <a:ln w="9525">
          <a:solidFill>
            <a:srgbClr val="000000"/>
          </a:solidFill>
          <a:prstDash val="solid"/>
        </a:ln>
      </xdr:spPr>
    </xdr:pic>
    <xdr:clientData/>
  </xdr:twoCellAnchor>
  <xdr:twoCellAnchor>
    <xdr:from>
      <xdr:col>3</xdr:col>
      <xdr:colOff>114300</xdr:colOff>
      <xdr:row>2416</xdr:row>
      <xdr:rowOff>28575</xdr:rowOff>
    </xdr:from>
    <xdr:to>
      <xdr:col>3</xdr:col>
      <xdr:colOff>1552575</xdr:colOff>
      <xdr:row>2416</xdr:row>
      <xdr:rowOff>1266825</xdr:rowOff>
    </xdr:to>
    <xdr:pic>
      <xdr:nvPicPr>
        <xdr:cNvPr id="959" name="Имя " descr="Descr ">
          <a:extLst>
            <a:ext uri="{FF2B5EF4-FFF2-40B4-BE49-F238E27FC236}">
              <a16:creationId xmlns:a16="http://schemas.microsoft.com/office/drawing/2014/main" id="{00000000-0008-0000-0000-0000BF030000}"/>
            </a:ext>
          </a:extLst>
        </xdr:cNvPr>
        <xdr:cNvPicPr>
          <a:picLocks noChangeAspect="1"/>
        </xdr:cNvPicPr>
      </xdr:nvPicPr>
      <xdr:blipFill>
        <a:blip xmlns:r="http://schemas.openxmlformats.org/officeDocument/2006/relationships" r:embed="rId958"/>
        <a:stretch>
          <a:fillRect/>
        </a:stretch>
      </xdr:blipFill>
      <xdr:spPr>
        <a:prstGeom prst="rect">
          <a:avLst/>
        </a:prstGeom>
        <a:ln w="9525">
          <a:solidFill>
            <a:srgbClr val="000000"/>
          </a:solidFill>
          <a:prstDash val="solid"/>
        </a:ln>
      </xdr:spPr>
    </xdr:pic>
    <xdr:clientData/>
  </xdr:twoCellAnchor>
  <xdr:twoCellAnchor>
    <xdr:from>
      <xdr:col>3</xdr:col>
      <xdr:colOff>114300</xdr:colOff>
      <xdr:row>2417</xdr:row>
      <xdr:rowOff>28575</xdr:rowOff>
    </xdr:from>
    <xdr:to>
      <xdr:col>3</xdr:col>
      <xdr:colOff>1552575</xdr:colOff>
      <xdr:row>2421</xdr:row>
      <xdr:rowOff>333375</xdr:rowOff>
    </xdr:to>
    <xdr:pic>
      <xdr:nvPicPr>
        <xdr:cNvPr id="960" name="Имя " descr="Descr ">
          <a:extLst>
            <a:ext uri="{FF2B5EF4-FFF2-40B4-BE49-F238E27FC236}">
              <a16:creationId xmlns:a16="http://schemas.microsoft.com/office/drawing/2014/main" id="{00000000-0008-0000-0000-0000C0030000}"/>
            </a:ext>
          </a:extLst>
        </xdr:cNvPr>
        <xdr:cNvPicPr>
          <a:picLocks noChangeAspect="1"/>
        </xdr:cNvPicPr>
      </xdr:nvPicPr>
      <xdr:blipFill>
        <a:blip xmlns:r="http://schemas.openxmlformats.org/officeDocument/2006/relationships" r:embed="rId959"/>
        <a:stretch>
          <a:fillRect/>
        </a:stretch>
      </xdr:blipFill>
      <xdr:spPr>
        <a:prstGeom prst="rect">
          <a:avLst/>
        </a:prstGeom>
        <a:ln w="9525">
          <a:solidFill>
            <a:srgbClr val="000000"/>
          </a:solidFill>
          <a:prstDash val="solid"/>
        </a:ln>
      </xdr:spPr>
    </xdr:pic>
    <xdr:clientData/>
  </xdr:twoCellAnchor>
  <xdr:twoCellAnchor>
    <xdr:from>
      <xdr:col>3</xdr:col>
      <xdr:colOff>114300</xdr:colOff>
      <xdr:row>2422</xdr:row>
      <xdr:rowOff>38100</xdr:rowOff>
    </xdr:from>
    <xdr:to>
      <xdr:col>3</xdr:col>
      <xdr:colOff>1552575</xdr:colOff>
      <xdr:row>2423</xdr:row>
      <xdr:rowOff>638175</xdr:rowOff>
    </xdr:to>
    <xdr:pic>
      <xdr:nvPicPr>
        <xdr:cNvPr id="961" name="Имя " descr="Descr ">
          <a:extLst>
            <a:ext uri="{FF2B5EF4-FFF2-40B4-BE49-F238E27FC236}">
              <a16:creationId xmlns:a16="http://schemas.microsoft.com/office/drawing/2014/main" id="{00000000-0008-0000-0000-0000C1030000}"/>
            </a:ext>
          </a:extLst>
        </xdr:cNvPr>
        <xdr:cNvPicPr>
          <a:picLocks noChangeAspect="1"/>
        </xdr:cNvPicPr>
      </xdr:nvPicPr>
      <xdr:blipFill>
        <a:blip xmlns:r="http://schemas.openxmlformats.org/officeDocument/2006/relationships" r:embed="rId960"/>
        <a:stretch>
          <a:fillRect/>
        </a:stretch>
      </xdr:blipFill>
      <xdr:spPr>
        <a:prstGeom prst="rect">
          <a:avLst/>
        </a:prstGeom>
        <a:ln w="9525">
          <a:solidFill>
            <a:srgbClr val="000000"/>
          </a:solidFill>
          <a:prstDash val="solid"/>
        </a:ln>
      </xdr:spPr>
    </xdr:pic>
    <xdr:clientData/>
  </xdr:twoCellAnchor>
  <xdr:twoCellAnchor>
    <xdr:from>
      <xdr:col>3</xdr:col>
      <xdr:colOff>114300</xdr:colOff>
      <xdr:row>2424</xdr:row>
      <xdr:rowOff>28575</xdr:rowOff>
    </xdr:from>
    <xdr:to>
      <xdr:col>3</xdr:col>
      <xdr:colOff>1552575</xdr:colOff>
      <xdr:row>2428</xdr:row>
      <xdr:rowOff>333375</xdr:rowOff>
    </xdr:to>
    <xdr:pic>
      <xdr:nvPicPr>
        <xdr:cNvPr id="962" name="Имя " descr="Descr ">
          <a:extLst>
            <a:ext uri="{FF2B5EF4-FFF2-40B4-BE49-F238E27FC236}">
              <a16:creationId xmlns:a16="http://schemas.microsoft.com/office/drawing/2014/main" id="{00000000-0008-0000-0000-0000C2030000}"/>
            </a:ext>
          </a:extLst>
        </xdr:cNvPr>
        <xdr:cNvPicPr>
          <a:picLocks noChangeAspect="1"/>
        </xdr:cNvPicPr>
      </xdr:nvPicPr>
      <xdr:blipFill>
        <a:blip xmlns:r="http://schemas.openxmlformats.org/officeDocument/2006/relationships" r:embed="rId961"/>
        <a:stretch>
          <a:fillRect/>
        </a:stretch>
      </xdr:blipFill>
      <xdr:spPr>
        <a:prstGeom prst="rect">
          <a:avLst/>
        </a:prstGeom>
        <a:ln w="9525">
          <a:solidFill>
            <a:srgbClr val="000000"/>
          </a:solidFill>
          <a:prstDash val="solid"/>
        </a:ln>
      </xdr:spPr>
    </xdr:pic>
    <xdr:clientData/>
  </xdr:twoCellAnchor>
  <xdr:twoCellAnchor>
    <xdr:from>
      <xdr:col>3</xdr:col>
      <xdr:colOff>114300</xdr:colOff>
      <xdr:row>2429</xdr:row>
      <xdr:rowOff>28575</xdr:rowOff>
    </xdr:from>
    <xdr:to>
      <xdr:col>3</xdr:col>
      <xdr:colOff>1552575</xdr:colOff>
      <xdr:row>2433</xdr:row>
      <xdr:rowOff>333375</xdr:rowOff>
    </xdr:to>
    <xdr:pic>
      <xdr:nvPicPr>
        <xdr:cNvPr id="963" name="Имя " descr="Descr ">
          <a:extLst>
            <a:ext uri="{FF2B5EF4-FFF2-40B4-BE49-F238E27FC236}">
              <a16:creationId xmlns:a16="http://schemas.microsoft.com/office/drawing/2014/main" id="{00000000-0008-0000-0000-0000C3030000}"/>
            </a:ext>
          </a:extLst>
        </xdr:cNvPr>
        <xdr:cNvPicPr>
          <a:picLocks noChangeAspect="1"/>
        </xdr:cNvPicPr>
      </xdr:nvPicPr>
      <xdr:blipFill>
        <a:blip xmlns:r="http://schemas.openxmlformats.org/officeDocument/2006/relationships" r:embed="rId962"/>
        <a:stretch>
          <a:fillRect/>
        </a:stretch>
      </xdr:blipFill>
      <xdr:spPr>
        <a:prstGeom prst="rect">
          <a:avLst/>
        </a:prstGeom>
        <a:ln w="9525">
          <a:solidFill>
            <a:srgbClr val="000000"/>
          </a:solidFill>
          <a:prstDash val="solid"/>
        </a:ln>
      </xdr:spPr>
    </xdr:pic>
    <xdr:clientData/>
  </xdr:twoCellAnchor>
  <xdr:twoCellAnchor>
    <xdr:from>
      <xdr:col>3</xdr:col>
      <xdr:colOff>114300</xdr:colOff>
      <xdr:row>2434</xdr:row>
      <xdr:rowOff>28575</xdr:rowOff>
    </xdr:from>
    <xdr:to>
      <xdr:col>3</xdr:col>
      <xdr:colOff>1552575</xdr:colOff>
      <xdr:row>2434</xdr:row>
      <xdr:rowOff>1266825</xdr:rowOff>
    </xdr:to>
    <xdr:pic>
      <xdr:nvPicPr>
        <xdr:cNvPr id="964" name="Имя " descr="Descr ">
          <a:extLst>
            <a:ext uri="{FF2B5EF4-FFF2-40B4-BE49-F238E27FC236}">
              <a16:creationId xmlns:a16="http://schemas.microsoft.com/office/drawing/2014/main" id="{00000000-0008-0000-0000-0000C4030000}"/>
            </a:ext>
          </a:extLst>
        </xdr:cNvPr>
        <xdr:cNvPicPr>
          <a:picLocks noChangeAspect="1"/>
        </xdr:cNvPicPr>
      </xdr:nvPicPr>
      <xdr:blipFill>
        <a:blip xmlns:r="http://schemas.openxmlformats.org/officeDocument/2006/relationships" r:embed="rId963"/>
        <a:stretch>
          <a:fillRect/>
        </a:stretch>
      </xdr:blipFill>
      <xdr:spPr>
        <a:prstGeom prst="rect">
          <a:avLst/>
        </a:prstGeom>
        <a:ln w="9525">
          <a:solidFill>
            <a:srgbClr val="000000"/>
          </a:solidFill>
          <a:prstDash val="solid"/>
        </a:ln>
      </xdr:spPr>
    </xdr:pic>
    <xdr:clientData/>
  </xdr:twoCellAnchor>
  <xdr:twoCellAnchor>
    <xdr:from>
      <xdr:col>3</xdr:col>
      <xdr:colOff>114300</xdr:colOff>
      <xdr:row>2435</xdr:row>
      <xdr:rowOff>38100</xdr:rowOff>
    </xdr:from>
    <xdr:to>
      <xdr:col>3</xdr:col>
      <xdr:colOff>1552575</xdr:colOff>
      <xdr:row>2436</xdr:row>
      <xdr:rowOff>638175</xdr:rowOff>
    </xdr:to>
    <xdr:pic>
      <xdr:nvPicPr>
        <xdr:cNvPr id="965" name="Имя " descr="Descr ">
          <a:extLst>
            <a:ext uri="{FF2B5EF4-FFF2-40B4-BE49-F238E27FC236}">
              <a16:creationId xmlns:a16="http://schemas.microsoft.com/office/drawing/2014/main" id="{00000000-0008-0000-0000-0000C5030000}"/>
            </a:ext>
          </a:extLst>
        </xdr:cNvPr>
        <xdr:cNvPicPr>
          <a:picLocks noChangeAspect="1"/>
        </xdr:cNvPicPr>
      </xdr:nvPicPr>
      <xdr:blipFill>
        <a:blip xmlns:r="http://schemas.openxmlformats.org/officeDocument/2006/relationships" r:embed="rId964"/>
        <a:stretch>
          <a:fillRect/>
        </a:stretch>
      </xdr:blipFill>
      <xdr:spPr>
        <a:prstGeom prst="rect">
          <a:avLst/>
        </a:prstGeom>
        <a:ln w="9525">
          <a:solidFill>
            <a:srgbClr val="000000"/>
          </a:solidFill>
          <a:prstDash val="solid"/>
        </a:ln>
      </xdr:spPr>
    </xdr:pic>
    <xdr:clientData/>
  </xdr:twoCellAnchor>
  <xdr:twoCellAnchor>
    <xdr:from>
      <xdr:col>3</xdr:col>
      <xdr:colOff>114300</xdr:colOff>
      <xdr:row>2437</xdr:row>
      <xdr:rowOff>28575</xdr:rowOff>
    </xdr:from>
    <xdr:to>
      <xdr:col>3</xdr:col>
      <xdr:colOff>1552575</xdr:colOff>
      <xdr:row>2441</xdr:row>
      <xdr:rowOff>333375</xdr:rowOff>
    </xdr:to>
    <xdr:pic>
      <xdr:nvPicPr>
        <xdr:cNvPr id="966" name="Имя " descr="Descr ">
          <a:extLst>
            <a:ext uri="{FF2B5EF4-FFF2-40B4-BE49-F238E27FC236}">
              <a16:creationId xmlns:a16="http://schemas.microsoft.com/office/drawing/2014/main" id="{00000000-0008-0000-0000-0000C6030000}"/>
            </a:ext>
          </a:extLst>
        </xdr:cNvPr>
        <xdr:cNvPicPr>
          <a:picLocks noChangeAspect="1"/>
        </xdr:cNvPicPr>
      </xdr:nvPicPr>
      <xdr:blipFill>
        <a:blip xmlns:r="http://schemas.openxmlformats.org/officeDocument/2006/relationships" r:embed="rId965"/>
        <a:stretch>
          <a:fillRect/>
        </a:stretch>
      </xdr:blipFill>
      <xdr:spPr>
        <a:prstGeom prst="rect">
          <a:avLst/>
        </a:prstGeom>
        <a:ln w="9525">
          <a:solidFill>
            <a:srgbClr val="000000"/>
          </a:solidFill>
          <a:prstDash val="solid"/>
        </a:ln>
      </xdr:spPr>
    </xdr:pic>
    <xdr:clientData/>
  </xdr:twoCellAnchor>
  <xdr:twoCellAnchor>
    <xdr:from>
      <xdr:col>3</xdr:col>
      <xdr:colOff>114300</xdr:colOff>
      <xdr:row>2442</xdr:row>
      <xdr:rowOff>28575</xdr:rowOff>
    </xdr:from>
    <xdr:to>
      <xdr:col>3</xdr:col>
      <xdr:colOff>1552575</xdr:colOff>
      <xdr:row>2442</xdr:row>
      <xdr:rowOff>1266825</xdr:rowOff>
    </xdr:to>
    <xdr:pic>
      <xdr:nvPicPr>
        <xdr:cNvPr id="967" name="Имя " descr="Descr ">
          <a:extLst>
            <a:ext uri="{FF2B5EF4-FFF2-40B4-BE49-F238E27FC236}">
              <a16:creationId xmlns:a16="http://schemas.microsoft.com/office/drawing/2014/main" id="{00000000-0008-0000-0000-0000C7030000}"/>
            </a:ext>
          </a:extLst>
        </xdr:cNvPr>
        <xdr:cNvPicPr>
          <a:picLocks noChangeAspect="1"/>
        </xdr:cNvPicPr>
      </xdr:nvPicPr>
      <xdr:blipFill>
        <a:blip xmlns:r="http://schemas.openxmlformats.org/officeDocument/2006/relationships" r:embed="rId966"/>
        <a:stretch>
          <a:fillRect/>
        </a:stretch>
      </xdr:blipFill>
      <xdr:spPr>
        <a:prstGeom prst="rect">
          <a:avLst/>
        </a:prstGeom>
        <a:ln w="9525">
          <a:solidFill>
            <a:srgbClr val="000000"/>
          </a:solidFill>
          <a:prstDash val="solid"/>
        </a:ln>
      </xdr:spPr>
    </xdr:pic>
    <xdr:clientData/>
  </xdr:twoCellAnchor>
  <xdr:twoCellAnchor>
    <xdr:from>
      <xdr:col>3</xdr:col>
      <xdr:colOff>114300</xdr:colOff>
      <xdr:row>2443</xdr:row>
      <xdr:rowOff>28575</xdr:rowOff>
    </xdr:from>
    <xdr:to>
      <xdr:col>3</xdr:col>
      <xdr:colOff>1552575</xdr:colOff>
      <xdr:row>2445</xdr:row>
      <xdr:rowOff>419100</xdr:rowOff>
    </xdr:to>
    <xdr:pic>
      <xdr:nvPicPr>
        <xdr:cNvPr id="968" name="Имя " descr="Descr ">
          <a:extLst>
            <a:ext uri="{FF2B5EF4-FFF2-40B4-BE49-F238E27FC236}">
              <a16:creationId xmlns:a16="http://schemas.microsoft.com/office/drawing/2014/main" id="{00000000-0008-0000-0000-0000C8030000}"/>
            </a:ext>
          </a:extLst>
        </xdr:cNvPr>
        <xdr:cNvPicPr>
          <a:picLocks noChangeAspect="1"/>
        </xdr:cNvPicPr>
      </xdr:nvPicPr>
      <xdr:blipFill>
        <a:blip xmlns:r="http://schemas.openxmlformats.org/officeDocument/2006/relationships" r:embed="rId967"/>
        <a:stretch>
          <a:fillRect/>
        </a:stretch>
      </xdr:blipFill>
      <xdr:spPr>
        <a:prstGeom prst="rect">
          <a:avLst/>
        </a:prstGeom>
        <a:ln w="9525">
          <a:solidFill>
            <a:srgbClr val="000000"/>
          </a:solidFill>
          <a:prstDash val="solid"/>
        </a:ln>
      </xdr:spPr>
    </xdr:pic>
    <xdr:clientData/>
  </xdr:twoCellAnchor>
  <xdr:twoCellAnchor>
    <xdr:from>
      <xdr:col>3</xdr:col>
      <xdr:colOff>114300</xdr:colOff>
      <xdr:row>2446</xdr:row>
      <xdr:rowOff>38100</xdr:rowOff>
    </xdr:from>
    <xdr:to>
      <xdr:col>3</xdr:col>
      <xdr:colOff>1552575</xdr:colOff>
      <xdr:row>2447</xdr:row>
      <xdr:rowOff>638175</xdr:rowOff>
    </xdr:to>
    <xdr:pic>
      <xdr:nvPicPr>
        <xdr:cNvPr id="969" name="Имя " descr="Descr ">
          <a:extLst>
            <a:ext uri="{FF2B5EF4-FFF2-40B4-BE49-F238E27FC236}">
              <a16:creationId xmlns:a16="http://schemas.microsoft.com/office/drawing/2014/main" id="{00000000-0008-0000-0000-0000C9030000}"/>
            </a:ext>
          </a:extLst>
        </xdr:cNvPr>
        <xdr:cNvPicPr>
          <a:picLocks noChangeAspect="1"/>
        </xdr:cNvPicPr>
      </xdr:nvPicPr>
      <xdr:blipFill>
        <a:blip xmlns:r="http://schemas.openxmlformats.org/officeDocument/2006/relationships" r:embed="rId968"/>
        <a:stretch>
          <a:fillRect/>
        </a:stretch>
      </xdr:blipFill>
      <xdr:spPr>
        <a:prstGeom prst="rect">
          <a:avLst/>
        </a:prstGeom>
        <a:ln w="9525">
          <a:solidFill>
            <a:srgbClr val="000000"/>
          </a:solidFill>
          <a:prstDash val="solid"/>
        </a:ln>
      </xdr:spPr>
    </xdr:pic>
    <xdr:clientData/>
  </xdr:twoCellAnchor>
  <xdr:twoCellAnchor>
    <xdr:from>
      <xdr:col>3</xdr:col>
      <xdr:colOff>114300</xdr:colOff>
      <xdr:row>2448</xdr:row>
      <xdr:rowOff>28575</xdr:rowOff>
    </xdr:from>
    <xdr:to>
      <xdr:col>3</xdr:col>
      <xdr:colOff>1552575</xdr:colOff>
      <xdr:row>2452</xdr:row>
      <xdr:rowOff>333375</xdr:rowOff>
    </xdr:to>
    <xdr:pic>
      <xdr:nvPicPr>
        <xdr:cNvPr id="970" name="Имя " descr="Descr ">
          <a:extLst>
            <a:ext uri="{FF2B5EF4-FFF2-40B4-BE49-F238E27FC236}">
              <a16:creationId xmlns:a16="http://schemas.microsoft.com/office/drawing/2014/main" id="{00000000-0008-0000-0000-0000CA030000}"/>
            </a:ext>
          </a:extLst>
        </xdr:cNvPr>
        <xdr:cNvPicPr>
          <a:picLocks noChangeAspect="1"/>
        </xdr:cNvPicPr>
      </xdr:nvPicPr>
      <xdr:blipFill>
        <a:blip xmlns:r="http://schemas.openxmlformats.org/officeDocument/2006/relationships" r:embed="rId969"/>
        <a:stretch>
          <a:fillRect/>
        </a:stretch>
      </xdr:blipFill>
      <xdr:spPr>
        <a:prstGeom prst="rect">
          <a:avLst/>
        </a:prstGeom>
        <a:ln w="9525">
          <a:solidFill>
            <a:srgbClr val="000000"/>
          </a:solidFill>
          <a:prstDash val="solid"/>
        </a:ln>
      </xdr:spPr>
    </xdr:pic>
    <xdr:clientData/>
  </xdr:twoCellAnchor>
  <xdr:twoCellAnchor>
    <xdr:from>
      <xdr:col>3</xdr:col>
      <xdr:colOff>114300</xdr:colOff>
      <xdr:row>2453</xdr:row>
      <xdr:rowOff>38100</xdr:rowOff>
    </xdr:from>
    <xdr:to>
      <xdr:col>3</xdr:col>
      <xdr:colOff>1552575</xdr:colOff>
      <xdr:row>2454</xdr:row>
      <xdr:rowOff>638175</xdr:rowOff>
    </xdr:to>
    <xdr:pic>
      <xdr:nvPicPr>
        <xdr:cNvPr id="971" name="Имя " descr="Descr ">
          <a:extLst>
            <a:ext uri="{FF2B5EF4-FFF2-40B4-BE49-F238E27FC236}">
              <a16:creationId xmlns:a16="http://schemas.microsoft.com/office/drawing/2014/main" id="{00000000-0008-0000-0000-0000CB030000}"/>
            </a:ext>
          </a:extLst>
        </xdr:cNvPr>
        <xdr:cNvPicPr>
          <a:picLocks noChangeAspect="1"/>
        </xdr:cNvPicPr>
      </xdr:nvPicPr>
      <xdr:blipFill>
        <a:blip xmlns:r="http://schemas.openxmlformats.org/officeDocument/2006/relationships" r:embed="rId970"/>
        <a:stretch>
          <a:fillRect/>
        </a:stretch>
      </xdr:blipFill>
      <xdr:spPr>
        <a:prstGeom prst="rect">
          <a:avLst/>
        </a:prstGeom>
        <a:ln w="9525">
          <a:solidFill>
            <a:srgbClr val="000000"/>
          </a:solidFill>
          <a:prstDash val="solid"/>
        </a:ln>
      </xdr:spPr>
    </xdr:pic>
    <xdr:clientData/>
  </xdr:twoCellAnchor>
  <xdr:twoCellAnchor>
    <xdr:from>
      <xdr:col>3</xdr:col>
      <xdr:colOff>114300</xdr:colOff>
      <xdr:row>2455</xdr:row>
      <xdr:rowOff>38100</xdr:rowOff>
    </xdr:from>
    <xdr:to>
      <xdr:col>3</xdr:col>
      <xdr:colOff>1552575</xdr:colOff>
      <xdr:row>2456</xdr:row>
      <xdr:rowOff>638175</xdr:rowOff>
    </xdr:to>
    <xdr:pic>
      <xdr:nvPicPr>
        <xdr:cNvPr id="972" name="Имя " descr="Descr ">
          <a:extLst>
            <a:ext uri="{FF2B5EF4-FFF2-40B4-BE49-F238E27FC236}">
              <a16:creationId xmlns:a16="http://schemas.microsoft.com/office/drawing/2014/main" id="{00000000-0008-0000-0000-0000CC030000}"/>
            </a:ext>
          </a:extLst>
        </xdr:cNvPr>
        <xdr:cNvPicPr>
          <a:picLocks noChangeAspect="1"/>
        </xdr:cNvPicPr>
      </xdr:nvPicPr>
      <xdr:blipFill>
        <a:blip xmlns:r="http://schemas.openxmlformats.org/officeDocument/2006/relationships" r:embed="rId971"/>
        <a:stretch>
          <a:fillRect/>
        </a:stretch>
      </xdr:blipFill>
      <xdr:spPr>
        <a:prstGeom prst="rect">
          <a:avLst/>
        </a:prstGeom>
        <a:ln w="9525">
          <a:solidFill>
            <a:srgbClr val="000000"/>
          </a:solidFill>
          <a:prstDash val="solid"/>
        </a:ln>
      </xdr:spPr>
    </xdr:pic>
    <xdr:clientData/>
  </xdr:twoCellAnchor>
  <xdr:twoCellAnchor>
    <xdr:from>
      <xdr:col>3</xdr:col>
      <xdr:colOff>114300</xdr:colOff>
      <xdr:row>2457</xdr:row>
      <xdr:rowOff>28575</xdr:rowOff>
    </xdr:from>
    <xdr:to>
      <xdr:col>3</xdr:col>
      <xdr:colOff>1552575</xdr:colOff>
      <xdr:row>2460</xdr:row>
      <xdr:rowOff>209550</xdr:rowOff>
    </xdr:to>
    <xdr:pic>
      <xdr:nvPicPr>
        <xdr:cNvPr id="973" name="Имя " descr="Descr ">
          <a:extLst>
            <a:ext uri="{FF2B5EF4-FFF2-40B4-BE49-F238E27FC236}">
              <a16:creationId xmlns:a16="http://schemas.microsoft.com/office/drawing/2014/main" id="{00000000-0008-0000-0000-0000CD030000}"/>
            </a:ext>
          </a:extLst>
        </xdr:cNvPr>
        <xdr:cNvPicPr>
          <a:picLocks noChangeAspect="1"/>
        </xdr:cNvPicPr>
      </xdr:nvPicPr>
      <xdr:blipFill>
        <a:blip xmlns:r="http://schemas.openxmlformats.org/officeDocument/2006/relationships" r:embed="rId972"/>
        <a:stretch>
          <a:fillRect/>
        </a:stretch>
      </xdr:blipFill>
      <xdr:spPr>
        <a:prstGeom prst="rect">
          <a:avLst/>
        </a:prstGeom>
        <a:ln w="9525">
          <a:solidFill>
            <a:srgbClr val="000000"/>
          </a:solidFill>
          <a:prstDash val="solid"/>
        </a:ln>
      </xdr:spPr>
    </xdr:pic>
    <xdr:clientData/>
  </xdr:twoCellAnchor>
  <xdr:twoCellAnchor>
    <xdr:from>
      <xdr:col>3</xdr:col>
      <xdr:colOff>114300</xdr:colOff>
      <xdr:row>2461</xdr:row>
      <xdr:rowOff>28575</xdr:rowOff>
    </xdr:from>
    <xdr:to>
      <xdr:col>3</xdr:col>
      <xdr:colOff>1552575</xdr:colOff>
      <xdr:row>2464</xdr:row>
      <xdr:rowOff>209550</xdr:rowOff>
    </xdr:to>
    <xdr:pic>
      <xdr:nvPicPr>
        <xdr:cNvPr id="974" name="Имя " descr="Descr ">
          <a:extLst>
            <a:ext uri="{FF2B5EF4-FFF2-40B4-BE49-F238E27FC236}">
              <a16:creationId xmlns:a16="http://schemas.microsoft.com/office/drawing/2014/main" id="{00000000-0008-0000-0000-0000CE030000}"/>
            </a:ext>
          </a:extLst>
        </xdr:cNvPr>
        <xdr:cNvPicPr>
          <a:picLocks noChangeAspect="1"/>
        </xdr:cNvPicPr>
      </xdr:nvPicPr>
      <xdr:blipFill>
        <a:blip xmlns:r="http://schemas.openxmlformats.org/officeDocument/2006/relationships" r:embed="rId973"/>
        <a:stretch>
          <a:fillRect/>
        </a:stretch>
      </xdr:blipFill>
      <xdr:spPr>
        <a:prstGeom prst="rect">
          <a:avLst/>
        </a:prstGeom>
        <a:ln w="9525">
          <a:solidFill>
            <a:srgbClr val="000000"/>
          </a:solidFill>
          <a:prstDash val="solid"/>
        </a:ln>
      </xdr:spPr>
    </xdr:pic>
    <xdr:clientData/>
  </xdr:twoCellAnchor>
  <xdr:twoCellAnchor>
    <xdr:from>
      <xdr:col>3</xdr:col>
      <xdr:colOff>114300</xdr:colOff>
      <xdr:row>2465</xdr:row>
      <xdr:rowOff>28575</xdr:rowOff>
    </xdr:from>
    <xdr:to>
      <xdr:col>3</xdr:col>
      <xdr:colOff>1552575</xdr:colOff>
      <xdr:row>2468</xdr:row>
      <xdr:rowOff>209550</xdr:rowOff>
    </xdr:to>
    <xdr:pic>
      <xdr:nvPicPr>
        <xdr:cNvPr id="975" name="Имя " descr="Descr ">
          <a:extLst>
            <a:ext uri="{FF2B5EF4-FFF2-40B4-BE49-F238E27FC236}">
              <a16:creationId xmlns:a16="http://schemas.microsoft.com/office/drawing/2014/main" id="{00000000-0008-0000-0000-0000CF030000}"/>
            </a:ext>
          </a:extLst>
        </xdr:cNvPr>
        <xdr:cNvPicPr>
          <a:picLocks noChangeAspect="1"/>
        </xdr:cNvPicPr>
      </xdr:nvPicPr>
      <xdr:blipFill>
        <a:blip xmlns:r="http://schemas.openxmlformats.org/officeDocument/2006/relationships" r:embed="rId974"/>
        <a:stretch>
          <a:fillRect/>
        </a:stretch>
      </xdr:blipFill>
      <xdr:spPr>
        <a:prstGeom prst="rect">
          <a:avLst/>
        </a:prstGeom>
        <a:ln w="9525">
          <a:solidFill>
            <a:srgbClr val="000000"/>
          </a:solidFill>
          <a:prstDash val="solid"/>
        </a:ln>
      </xdr:spPr>
    </xdr:pic>
    <xdr:clientData/>
  </xdr:twoCellAnchor>
  <xdr:twoCellAnchor>
    <xdr:from>
      <xdr:col>3</xdr:col>
      <xdr:colOff>114300</xdr:colOff>
      <xdr:row>2469</xdr:row>
      <xdr:rowOff>28575</xdr:rowOff>
    </xdr:from>
    <xdr:to>
      <xdr:col>3</xdr:col>
      <xdr:colOff>1552575</xdr:colOff>
      <xdr:row>2472</xdr:row>
      <xdr:rowOff>209550</xdr:rowOff>
    </xdr:to>
    <xdr:pic>
      <xdr:nvPicPr>
        <xdr:cNvPr id="976" name="Имя " descr="Descr ">
          <a:extLst>
            <a:ext uri="{FF2B5EF4-FFF2-40B4-BE49-F238E27FC236}">
              <a16:creationId xmlns:a16="http://schemas.microsoft.com/office/drawing/2014/main" id="{00000000-0008-0000-0000-0000D0030000}"/>
            </a:ext>
          </a:extLst>
        </xdr:cNvPr>
        <xdr:cNvPicPr>
          <a:picLocks noChangeAspect="1"/>
        </xdr:cNvPicPr>
      </xdr:nvPicPr>
      <xdr:blipFill>
        <a:blip xmlns:r="http://schemas.openxmlformats.org/officeDocument/2006/relationships" r:embed="rId975"/>
        <a:stretch>
          <a:fillRect/>
        </a:stretch>
      </xdr:blipFill>
      <xdr:spPr>
        <a:prstGeom prst="rect">
          <a:avLst/>
        </a:prstGeom>
        <a:ln w="9525">
          <a:solidFill>
            <a:srgbClr val="000000"/>
          </a:solidFill>
          <a:prstDash val="solid"/>
        </a:ln>
      </xdr:spPr>
    </xdr:pic>
    <xdr:clientData/>
  </xdr:twoCellAnchor>
  <xdr:twoCellAnchor>
    <xdr:from>
      <xdr:col>3</xdr:col>
      <xdr:colOff>114300</xdr:colOff>
      <xdr:row>2473</xdr:row>
      <xdr:rowOff>28575</xdr:rowOff>
    </xdr:from>
    <xdr:to>
      <xdr:col>3</xdr:col>
      <xdr:colOff>1552575</xdr:colOff>
      <xdr:row>2477</xdr:row>
      <xdr:rowOff>333375</xdr:rowOff>
    </xdr:to>
    <xdr:pic>
      <xdr:nvPicPr>
        <xdr:cNvPr id="977" name="Имя " descr="Descr ">
          <a:extLst>
            <a:ext uri="{FF2B5EF4-FFF2-40B4-BE49-F238E27FC236}">
              <a16:creationId xmlns:a16="http://schemas.microsoft.com/office/drawing/2014/main" id="{00000000-0008-0000-0000-0000D1030000}"/>
            </a:ext>
          </a:extLst>
        </xdr:cNvPr>
        <xdr:cNvPicPr>
          <a:picLocks noChangeAspect="1"/>
        </xdr:cNvPicPr>
      </xdr:nvPicPr>
      <xdr:blipFill>
        <a:blip xmlns:r="http://schemas.openxmlformats.org/officeDocument/2006/relationships" r:embed="rId976"/>
        <a:stretch>
          <a:fillRect/>
        </a:stretch>
      </xdr:blipFill>
      <xdr:spPr>
        <a:prstGeom prst="rect">
          <a:avLst/>
        </a:prstGeom>
        <a:ln w="9525">
          <a:solidFill>
            <a:srgbClr val="000000"/>
          </a:solidFill>
          <a:prstDash val="solid"/>
        </a:ln>
      </xdr:spPr>
    </xdr:pic>
    <xdr:clientData/>
  </xdr:twoCellAnchor>
  <xdr:twoCellAnchor>
    <xdr:from>
      <xdr:col>3</xdr:col>
      <xdr:colOff>114300</xdr:colOff>
      <xdr:row>2478</xdr:row>
      <xdr:rowOff>28575</xdr:rowOff>
    </xdr:from>
    <xdr:to>
      <xdr:col>3</xdr:col>
      <xdr:colOff>1552575</xdr:colOff>
      <xdr:row>2482</xdr:row>
      <xdr:rowOff>333375</xdr:rowOff>
    </xdr:to>
    <xdr:pic>
      <xdr:nvPicPr>
        <xdr:cNvPr id="978" name="Имя " descr="Descr ">
          <a:extLst>
            <a:ext uri="{FF2B5EF4-FFF2-40B4-BE49-F238E27FC236}">
              <a16:creationId xmlns:a16="http://schemas.microsoft.com/office/drawing/2014/main" id="{00000000-0008-0000-0000-0000D2030000}"/>
            </a:ext>
          </a:extLst>
        </xdr:cNvPr>
        <xdr:cNvPicPr>
          <a:picLocks noChangeAspect="1"/>
        </xdr:cNvPicPr>
      </xdr:nvPicPr>
      <xdr:blipFill>
        <a:blip xmlns:r="http://schemas.openxmlformats.org/officeDocument/2006/relationships" r:embed="rId977"/>
        <a:stretch>
          <a:fillRect/>
        </a:stretch>
      </xdr:blipFill>
      <xdr:spPr>
        <a:prstGeom prst="rect">
          <a:avLst/>
        </a:prstGeom>
        <a:ln w="9525">
          <a:solidFill>
            <a:srgbClr val="000000"/>
          </a:solidFill>
          <a:prstDash val="solid"/>
        </a:ln>
      </xdr:spPr>
    </xdr:pic>
    <xdr:clientData/>
  </xdr:twoCellAnchor>
  <xdr:twoCellAnchor>
    <xdr:from>
      <xdr:col>3</xdr:col>
      <xdr:colOff>114300</xdr:colOff>
      <xdr:row>2483</xdr:row>
      <xdr:rowOff>38100</xdr:rowOff>
    </xdr:from>
    <xdr:to>
      <xdr:col>3</xdr:col>
      <xdr:colOff>1552575</xdr:colOff>
      <xdr:row>2484</xdr:row>
      <xdr:rowOff>638175</xdr:rowOff>
    </xdr:to>
    <xdr:pic>
      <xdr:nvPicPr>
        <xdr:cNvPr id="979" name="Имя " descr="Descr ">
          <a:extLst>
            <a:ext uri="{FF2B5EF4-FFF2-40B4-BE49-F238E27FC236}">
              <a16:creationId xmlns:a16="http://schemas.microsoft.com/office/drawing/2014/main" id="{00000000-0008-0000-0000-0000D3030000}"/>
            </a:ext>
          </a:extLst>
        </xdr:cNvPr>
        <xdr:cNvPicPr>
          <a:picLocks noChangeAspect="1"/>
        </xdr:cNvPicPr>
      </xdr:nvPicPr>
      <xdr:blipFill>
        <a:blip xmlns:r="http://schemas.openxmlformats.org/officeDocument/2006/relationships" r:embed="rId978"/>
        <a:stretch>
          <a:fillRect/>
        </a:stretch>
      </xdr:blipFill>
      <xdr:spPr>
        <a:prstGeom prst="rect">
          <a:avLst/>
        </a:prstGeom>
        <a:ln w="9525">
          <a:solidFill>
            <a:srgbClr val="000000"/>
          </a:solidFill>
          <a:prstDash val="solid"/>
        </a:ln>
      </xdr:spPr>
    </xdr:pic>
    <xdr:clientData/>
  </xdr:twoCellAnchor>
  <xdr:twoCellAnchor>
    <xdr:from>
      <xdr:col>3</xdr:col>
      <xdr:colOff>114300</xdr:colOff>
      <xdr:row>2485</xdr:row>
      <xdr:rowOff>28575</xdr:rowOff>
    </xdr:from>
    <xdr:to>
      <xdr:col>3</xdr:col>
      <xdr:colOff>1552575</xdr:colOff>
      <xdr:row>2487</xdr:row>
      <xdr:rowOff>419100</xdr:rowOff>
    </xdr:to>
    <xdr:pic>
      <xdr:nvPicPr>
        <xdr:cNvPr id="980" name="Имя " descr="Descr ">
          <a:extLst>
            <a:ext uri="{FF2B5EF4-FFF2-40B4-BE49-F238E27FC236}">
              <a16:creationId xmlns:a16="http://schemas.microsoft.com/office/drawing/2014/main" id="{00000000-0008-0000-0000-0000D4030000}"/>
            </a:ext>
          </a:extLst>
        </xdr:cNvPr>
        <xdr:cNvPicPr>
          <a:picLocks noChangeAspect="1"/>
        </xdr:cNvPicPr>
      </xdr:nvPicPr>
      <xdr:blipFill>
        <a:blip xmlns:r="http://schemas.openxmlformats.org/officeDocument/2006/relationships" r:embed="rId979"/>
        <a:stretch>
          <a:fillRect/>
        </a:stretch>
      </xdr:blipFill>
      <xdr:spPr>
        <a:prstGeom prst="rect">
          <a:avLst/>
        </a:prstGeom>
        <a:ln w="9525">
          <a:solidFill>
            <a:srgbClr val="000000"/>
          </a:solidFill>
          <a:prstDash val="solid"/>
        </a:ln>
      </xdr:spPr>
    </xdr:pic>
    <xdr:clientData/>
  </xdr:twoCellAnchor>
  <xdr:twoCellAnchor>
    <xdr:from>
      <xdr:col>3</xdr:col>
      <xdr:colOff>114300</xdr:colOff>
      <xdr:row>2488</xdr:row>
      <xdr:rowOff>38100</xdr:rowOff>
    </xdr:from>
    <xdr:to>
      <xdr:col>3</xdr:col>
      <xdr:colOff>1552575</xdr:colOff>
      <xdr:row>2489</xdr:row>
      <xdr:rowOff>638175</xdr:rowOff>
    </xdr:to>
    <xdr:pic>
      <xdr:nvPicPr>
        <xdr:cNvPr id="981" name="Имя " descr="Descr ">
          <a:extLst>
            <a:ext uri="{FF2B5EF4-FFF2-40B4-BE49-F238E27FC236}">
              <a16:creationId xmlns:a16="http://schemas.microsoft.com/office/drawing/2014/main" id="{00000000-0008-0000-0000-0000D5030000}"/>
            </a:ext>
          </a:extLst>
        </xdr:cNvPr>
        <xdr:cNvPicPr>
          <a:picLocks noChangeAspect="1"/>
        </xdr:cNvPicPr>
      </xdr:nvPicPr>
      <xdr:blipFill>
        <a:blip xmlns:r="http://schemas.openxmlformats.org/officeDocument/2006/relationships" r:embed="rId980"/>
        <a:stretch>
          <a:fillRect/>
        </a:stretch>
      </xdr:blipFill>
      <xdr:spPr>
        <a:prstGeom prst="rect">
          <a:avLst/>
        </a:prstGeom>
        <a:ln w="9525">
          <a:solidFill>
            <a:srgbClr val="000000"/>
          </a:solidFill>
          <a:prstDash val="solid"/>
        </a:ln>
      </xdr:spPr>
    </xdr:pic>
    <xdr:clientData/>
  </xdr:twoCellAnchor>
  <xdr:twoCellAnchor>
    <xdr:from>
      <xdr:col>3</xdr:col>
      <xdr:colOff>114300</xdr:colOff>
      <xdr:row>2490</xdr:row>
      <xdr:rowOff>28575</xdr:rowOff>
    </xdr:from>
    <xdr:to>
      <xdr:col>3</xdr:col>
      <xdr:colOff>1552575</xdr:colOff>
      <xdr:row>2493</xdr:row>
      <xdr:rowOff>209550</xdr:rowOff>
    </xdr:to>
    <xdr:pic>
      <xdr:nvPicPr>
        <xdr:cNvPr id="982" name="Имя " descr="Descr ">
          <a:extLst>
            <a:ext uri="{FF2B5EF4-FFF2-40B4-BE49-F238E27FC236}">
              <a16:creationId xmlns:a16="http://schemas.microsoft.com/office/drawing/2014/main" id="{00000000-0008-0000-0000-0000D6030000}"/>
            </a:ext>
          </a:extLst>
        </xdr:cNvPr>
        <xdr:cNvPicPr>
          <a:picLocks noChangeAspect="1"/>
        </xdr:cNvPicPr>
      </xdr:nvPicPr>
      <xdr:blipFill>
        <a:blip xmlns:r="http://schemas.openxmlformats.org/officeDocument/2006/relationships" r:embed="rId981"/>
        <a:stretch>
          <a:fillRect/>
        </a:stretch>
      </xdr:blipFill>
      <xdr:spPr>
        <a:prstGeom prst="rect">
          <a:avLst/>
        </a:prstGeom>
        <a:ln w="9525">
          <a:solidFill>
            <a:srgbClr val="000000"/>
          </a:solidFill>
          <a:prstDash val="solid"/>
        </a:ln>
      </xdr:spPr>
    </xdr:pic>
    <xdr:clientData/>
  </xdr:twoCellAnchor>
  <xdr:twoCellAnchor>
    <xdr:from>
      <xdr:col>3</xdr:col>
      <xdr:colOff>114300</xdr:colOff>
      <xdr:row>2494</xdr:row>
      <xdr:rowOff>38100</xdr:rowOff>
    </xdr:from>
    <xdr:to>
      <xdr:col>3</xdr:col>
      <xdr:colOff>1552575</xdr:colOff>
      <xdr:row>2495</xdr:row>
      <xdr:rowOff>638175</xdr:rowOff>
    </xdr:to>
    <xdr:pic>
      <xdr:nvPicPr>
        <xdr:cNvPr id="983" name="Имя " descr="Descr ">
          <a:extLst>
            <a:ext uri="{FF2B5EF4-FFF2-40B4-BE49-F238E27FC236}">
              <a16:creationId xmlns:a16="http://schemas.microsoft.com/office/drawing/2014/main" id="{00000000-0008-0000-0000-0000D7030000}"/>
            </a:ext>
          </a:extLst>
        </xdr:cNvPr>
        <xdr:cNvPicPr>
          <a:picLocks noChangeAspect="1"/>
        </xdr:cNvPicPr>
      </xdr:nvPicPr>
      <xdr:blipFill>
        <a:blip xmlns:r="http://schemas.openxmlformats.org/officeDocument/2006/relationships" r:embed="rId982"/>
        <a:stretch>
          <a:fillRect/>
        </a:stretch>
      </xdr:blipFill>
      <xdr:spPr>
        <a:prstGeom prst="rect">
          <a:avLst/>
        </a:prstGeom>
        <a:ln w="9525">
          <a:solidFill>
            <a:srgbClr val="000000"/>
          </a:solidFill>
          <a:prstDash val="solid"/>
        </a:ln>
      </xdr:spPr>
    </xdr:pic>
    <xdr:clientData/>
  </xdr:twoCellAnchor>
  <xdr:twoCellAnchor>
    <xdr:from>
      <xdr:col>3</xdr:col>
      <xdr:colOff>114300</xdr:colOff>
      <xdr:row>2496</xdr:row>
      <xdr:rowOff>28575</xdr:rowOff>
    </xdr:from>
    <xdr:to>
      <xdr:col>3</xdr:col>
      <xdr:colOff>1552575</xdr:colOff>
      <xdr:row>2499</xdr:row>
      <xdr:rowOff>209550</xdr:rowOff>
    </xdr:to>
    <xdr:pic>
      <xdr:nvPicPr>
        <xdr:cNvPr id="984" name="Имя " descr="Descr ">
          <a:extLst>
            <a:ext uri="{FF2B5EF4-FFF2-40B4-BE49-F238E27FC236}">
              <a16:creationId xmlns:a16="http://schemas.microsoft.com/office/drawing/2014/main" id="{00000000-0008-0000-0000-0000D8030000}"/>
            </a:ext>
          </a:extLst>
        </xdr:cNvPr>
        <xdr:cNvPicPr>
          <a:picLocks noChangeAspect="1"/>
        </xdr:cNvPicPr>
      </xdr:nvPicPr>
      <xdr:blipFill>
        <a:blip xmlns:r="http://schemas.openxmlformats.org/officeDocument/2006/relationships" r:embed="rId983"/>
        <a:stretch>
          <a:fillRect/>
        </a:stretch>
      </xdr:blipFill>
      <xdr:spPr>
        <a:prstGeom prst="rect">
          <a:avLst/>
        </a:prstGeom>
        <a:ln w="9525">
          <a:solidFill>
            <a:srgbClr val="000000"/>
          </a:solidFill>
          <a:prstDash val="solid"/>
        </a:ln>
      </xdr:spPr>
    </xdr:pic>
    <xdr:clientData/>
  </xdr:twoCellAnchor>
  <xdr:twoCellAnchor>
    <xdr:from>
      <xdr:col>3</xdr:col>
      <xdr:colOff>114300</xdr:colOff>
      <xdr:row>2500</xdr:row>
      <xdr:rowOff>28575</xdr:rowOff>
    </xdr:from>
    <xdr:to>
      <xdr:col>3</xdr:col>
      <xdr:colOff>1552575</xdr:colOff>
      <xdr:row>2503</xdr:row>
      <xdr:rowOff>209550</xdr:rowOff>
    </xdr:to>
    <xdr:pic>
      <xdr:nvPicPr>
        <xdr:cNvPr id="985" name="Имя " descr="Descr ">
          <a:extLst>
            <a:ext uri="{FF2B5EF4-FFF2-40B4-BE49-F238E27FC236}">
              <a16:creationId xmlns:a16="http://schemas.microsoft.com/office/drawing/2014/main" id="{00000000-0008-0000-0000-0000D9030000}"/>
            </a:ext>
          </a:extLst>
        </xdr:cNvPr>
        <xdr:cNvPicPr>
          <a:picLocks noChangeAspect="1"/>
        </xdr:cNvPicPr>
      </xdr:nvPicPr>
      <xdr:blipFill>
        <a:blip xmlns:r="http://schemas.openxmlformats.org/officeDocument/2006/relationships" r:embed="rId984"/>
        <a:stretch>
          <a:fillRect/>
        </a:stretch>
      </xdr:blipFill>
      <xdr:spPr>
        <a:prstGeom prst="rect">
          <a:avLst/>
        </a:prstGeom>
        <a:ln w="9525">
          <a:solidFill>
            <a:srgbClr val="000000"/>
          </a:solidFill>
          <a:prstDash val="solid"/>
        </a:ln>
      </xdr:spPr>
    </xdr:pic>
    <xdr:clientData/>
  </xdr:twoCellAnchor>
  <xdr:twoCellAnchor>
    <xdr:from>
      <xdr:col>3</xdr:col>
      <xdr:colOff>114300</xdr:colOff>
      <xdr:row>2504</xdr:row>
      <xdr:rowOff>28575</xdr:rowOff>
    </xdr:from>
    <xdr:to>
      <xdr:col>3</xdr:col>
      <xdr:colOff>1552575</xdr:colOff>
      <xdr:row>2504</xdr:row>
      <xdr:rowOff>1266825</xdr:rowOff>
    </xdr:to>
    <xdr:pic>
      <xdr:nvPicPr>
        <xdr:cNvPr id="986" name="Имя " descr="Descr ">
          <a:extLst>
            <a:ext uri="{FF2B5EF4-FFF2-40B4-BE49-F238E27FC236}">
              <a16:creationId xmlns:a16="http://schemas.microsoft.com/office/drawing/2014/main" id="{00000000-0008-0000-0000-0000DA030000}"/>
            </a:ext>
          </a:extLst>
        </xdr:cNvPr>
        <xdr:cNvPicPr>
          <a:picLocks noChangeAspect="1"/>
        </xdr:cNvPicPr>
      </xdr:nvPicPr>
      <xdr:blipFill>
        <a:blip xmlns:r="http://schemas.openxmlformats.org/officeDocument/2006/relationships" r:embed="rId985"/>
        <a:stretch>
          <a:fillRect/>
        </a:stretch>
      </xdr:blipFill>
      <xdr:spPr>
        <a:prstGeom prst="rect">
          <a:avLst/>
        </a:prstGeom>
        <a:ln w="9525">
          <a:solidFill>
            <a:srgbClr val="000000"/>
          </a:solidFill>
          <a:prstDash val="solid"/>
        </a:ln>
      </xdr:spPr>
    </xdr:pic>
    <xdr:clientData/>
  </xdr:twoCellAnchor>
  <xdr:twoCellAnchor>
    <xdr:from>
      <xdr:col>3</xdr:col>
      <xdr:colOff>114300</xdr:colOff>
      <xdr:row>2505</xdr:row>
      <xdr:rowOff>28575</xdr:rowOff>
    </xdr:from>
    <xdr:to>
      <xdr:col>3</xdr:col>
      <xdr:colOff>1552575</xdr:colOff>
      <xdr:row>2508</xdr:row>
      <xdr:rowOff>209550</xdr:rowOff>
    </xdr:to>
    <xdr:pic>
      <xdr:nvPicPr>
        <xdr:cNvPr id="987" name="Имя " descr="Descr ">
          <a:extLst>
            <a:ext uri="{FF2B5EF4-FFF2-40B4-BE49-F238E27FC236}">
              <a16:creationId xmlns:a16="http://schemas.microsoft.com/office/drawing/2014/main" id="{00000000-0008-0000-0000-0000DB030000}"/>
            </a:ext>
          </a:extLst>
        </xdr:cNvPr>
        <xdr:cNvPicPr>
          <a:picLocks noChangeAspect="1"/>
        </xdr:cNvPicPr>
      </xdr:nvPicPr>
      <xdr:blipFill>
        <a:blip xmlns:r="http://schemas.openxmlformats.org/officeDocument/2006/relationships" r:embed="rId986"/>
        <a:stretch>
          <a:fillRect/>
        </a:stretch>
      </xdr:blipFill>
      <xdr:spPr>
        <a:prstGeom prst="rect">
          <a:avLst/>
        </a:prstGeom>
        <a:ln w="9525">
          <a:solidFill>
            <a:srgbClr val="000000"/>
          </a:solidFill>
          <a:prstDash val="solid"/>
        </a:ln>
      </xdr:spPr>
    </xdr:pic>
    <xdr:clientData/>
  </xdr:twoCellAnchor>
  <xdr:twoCellAnchor>
    <xdr:from>
      <xdr:col>3</xdr:col>
      <xdr:colOff>114300</xdr:colOff>
      <xdr:row>2509</xdr:row>
      <xdr:rowOff>38100</xdr:rowOff>
    </xdr:from>
    <xdr:to>
      <xdr:col>3</xdr:col>
      <xdr:colOff>1552575</xdr:colOff>
      <xdr:row>2510</xdr:row>
      <xdr:rowOff>638175</xdr:rowOff>
    </xdr:to>
    <xdr:pic>
      <xdr:nvPicPr>
        <xdr:cNvPr id="988" name="Имя " descr="Descr ">
          <a:extLst>
            <a:ext uri="{FF2B5EF4-FFF2-40B4-BE49-F238E27FC236}">
              <a16:creationId xmlns:a16="http://schemas.microsoft.com/office/drawing/2014/main" id="{00000000-0008-0000-0000-0000DC030000}"/>
            </a:ext>
          </a:extLst>
        </xdr:cNvPr>
        <xdr:cNvPicPr>
          <a:picLocks noChangeAspect="1"/>
        </xdr:cNvPicPr>
      </xdr:nvPicPr>
      <xdr:blipFill>
        <a:blip xmlns:r="http://schemas.openxmlformats.org/officeDocument/2006/relationships" r:embed="rId987"/>
        <a:stretch>
          <a:fillRect/>
        </a:stretch>
      </xdr:blipFill>
      <xdr:spPr>
        <a:prstGeom prst="rect">
          <a:avLst/>
        </a:prstGeom>
        <a:ln w="9525">
          <a:solidFill>
            <a:srgbClr val="000000"/>
          </a:solidFill>
          <a:prstDash val="solid"/>
        </a:ln>
      </xdr:spPr>
    </xdr:pic>
    <xdr:clientData/>
  </xdr:twoCellAnchor>
  <xdr:twoCellAnchor>
    <xdr:from>
      <xdr:col>3</xdr:col>
      <xdr:colOff>114300</xdr:colOff>
      <xdr:row>2511</xdr:row>
      <xdr:rowOff>28575</xdr:rowOff>
    </xdr:from>
    <xdr:to>
      <xdr:col>3</xdr:col>
      <xdr:colOff>1552575</xdr:colOff>
      <xdr:row>2513</xdr:row>
      <xdr:rowOff>419100</xdr:rowOff>
    </xdr:to>
    <xdr:pic>
      <xdr:nvPicPr>
        <xdr:cNvPr id="989" name="Имя " descr="Descr ">
          <a:extLst>
            <a:ext uri="{FF2B5EF4-FFF2-40B4-BE49-F238E27FC236}">
              <a16:creationId xmlns:a16="http://schemas.microsoft.com/office/drawing/2014/main" id="{00000000-0008-0000-0000-0000DD030000}"/>
            </a:ext>
          </a:extLst>
        </xdr:cNvPr>
        <xdr:cNvPicPr>
          <a:picLocks noChangeAspect="1"/>
        </xdr:cNvPicPr>
      </xdr:nvPicPr>
      <xdr:blipFill>
        <a:blip xmlns:r="http://schemas.openxmlformats.org/officeDocument/2006/relationships" r:embed="rId988"/>
        <a:stretch>
          <a:fillRect/>
        </a:stretch>
      </xdr:blipFill>
      <xdr:spPr>
        <a:prstGeom prst="rect">
          <a:avLst/>
        </a:prstGeom>
        <a:ln w="9525">
          <a:solidFill>
            <a:srgbClr val="000000"/>
          </a:solidFill>
          <a:prstDash val="solid"/>
        </a:ln>
      </xdr:spPr>
    </xdr:pic>
    <xdr:clientData/>
  </xdr:twoCellAnchor>
  <xdr:twoCellAnchor>
    <xdr:from>
      <xdr:col>3</xdr:col>
      <xdr:colOff>114300</xdr:colOff>
      <xdr:row>2514</xdr:row>
      <xdr:rowOff>28575</xdr:rowOff>
    </xdr:from>
    <xdr:to>
      <xdr:col>3</xdr:col>
      <xdr:colOff>1552575</xdr:colOff>
      <xdr:row>2516</xdr:row>
      <xdr:rowOff>419100</xdr:rowOff>
    </xdr:to>
    <xdr:pic>
      <xdr:nvPicPr>
        <xdr:cNvPr id="990" name="Имя " descr="Descr ">
          <a:extLst>
            <a:ext uri="{FF2B5EF4-FFF2-40B4-BE49-F238E27FC236}">
              <a16:creationId xmlns:a16="http://schemas.microsoft.com/office/drawing/2014/main" id="{00000000-0008-0000-0000-0000DE030000}"/>
            </a:ext>
          </a:extLst>
        </xdr:cNvPr>
        <xdr:cNvPicPr>
          <a:picLocks noChangeAspect="1"/>
        </xdr:cNvPicPr>
      </xdr:nvPicPr>
      <xdr:blipFill>
        <a:blip xmlns:r="http://schemas.openxmlformats.org/officeDocument/2006/relationships" r:embed="rId989"/>
        <a:stretch>
          <a:fillRect/>
        </a:stretch>
      </xdr:blipFill>
      <xdr:spPr>
        <a:prstGeom prst="rect">
          <a:avLst/>
        </a:prstGeom>
        <a:ln w="9525">
          <a:solidFill>
            <a:srgbClr val="000000"/>
          </a:solidFill>
          <a:prstDash val="solid"/>
        </a:ln>
      </xdr:spPr>
    </xdr:pic>
    <xdr:clientData/>
  </xdr:twoCellAnchor>
  <xdr:twoCellAnchor>
    <xdr:from>
      <xdr:col>3</xdr:col>
      <xdr:colOff>114300</xdr:colOff>
      <xdr:row>2517</xdr:row>
      <xdr:rowOff>28575</xdr:rowOff>
    </xdr:from>
    <xdr:to>
      <xdr:col>3</xdr:col>
      <xdr:colOff>1552575</xdr:colOff>
      <xdr:row>2519</xdr:row>
      <xdr:rowOff>419100</xdr:rowOff>
    </xdr:to>
    <xdr:pic>
      <xdr:nvPicPr>
        <xdr:cNvPr id="991" name="Имя " descr="Descr ">
          <a:extLst>
            <a:ext uri="{FF2B5EF4-FFF2-40B4-BE49-F238E27FC236}">
              <a16:creationId xmlns:a16="http://schemas.microsoft.com/office/drawing/2014/main" id="{00000000-0008-0000-0000-0000DF030000}"/>
            </a:ext>
          </a:extLst>
        </xdr:cNvPr>
        <xdr:cNvPicPr>
          <a:picLocks noChangeAspect="1"/>
        </xdr:cNvPicPr>
      </xdr:nvPicPr>
      <xdr:blipFill>
        <a:blip xmlns:r="http://schemas.openxmlformats.org/officeDocument/2006/relationships" r:embed="rId990"/>
        <a:stretch>
          <a:fillRect/>
        </a:stretch>
      </xdr:blipFill>
      <xdr:spPr>
        <a:prstGeom prst="rect">
          <a:avLst/>
        </a:prstGeom>
        <a:ln w="9525">
          <a:solidFill>
            <a:srgbClr val="000000"/>
          </a:solidFill>
          <a:prstDash val="solid"/>
        </a:ln>
      </xdr:spPr>
    </xdr:pic>
    <xdr:clientData/>
  </xdr:twoCellAnchor>
  <xdr:twoCellAnchor>
    <xdr:from>
      <xdr:col>3</xdr:col>
      <xdr:colOff>114300</xdr:colOff>
      <xdr:row>2520</xdr:row>
      <xdr:rowOff>38100</xdr:rowOff>
    </xdr:from>
    <xdr:to>
      <xdr:col>3</xdr:col>
      <xdr:colOff>1552575</xdr:colOff>
      <xdr:row>2521</xdr:row>
      <xdr:rowOff>638175</xdr:rowOff>
    </xdr:to>
    <xdr:pic>
      <xdr:nvPicPr>
        <xdr:cNvPr id="992" name="Имя " descr="Descr ">
          <a:extLst>
            <a:ext uri="{FF2B5EF4-FFF2-40B4-BE49-F238E27FC236}">
              <a16:creationId xmlns:a16="http://schemas.microsoft.com/office/drawing/2014/main" id="{00000000-0008-0000-0000-0000E0030000}"/>
            </a:ext>
          </a:extLst>
        </xdr:cNvPr>
        <xdr:cNvPicPr>
          <a:picLocks noChangeAspect="1"/>
        </xdr:cNvPicPr>
      </xdr:nvPicPr>
      <xdr:blipFill>
        <a:blip xmlns:r="http://schemas.openxmlformats.org/officeDocument/2006/relationships" r:embed="rId991"/>
        <a:stretch>
          <a:fillRect/>
        </a:stretch>
      </xdr:blipFill>
      <xdr:spPr>
        <a:prstGeom prst="rect">
          <a:avLst/>
        </a:prstGeom>
        <a:ln w="9525">
          <a:solidFill>
            <a:srgbClr val="000000"/>
          </a:solidFill>
          <a:prstDash val="solid"/>
        </a:ln>
      </xdr:spPr>
    </xdr:pic>
    <xdr:clientData/>
  </xdr:twoCellAnchor>
  <xdr:twoCellAnchor>
    <xdr:from>
      <xdr:col>3</xdr:col>
      <xdr:colOff>114300</xdr:colOff>
      <xdr:row>2522</xdr:row>
      <xdr:rowOff>28575</xdr:rowOff>
    </xdr:from>
    <xdr:to>
      <xdr:col>3</xdr:col>
      <xdr:colOff>1552575</xdr:colOff>
      <xdr:row>2526</xdr:row>
      <xdr:rowOff>333375</xdr:rowOff>
    </xdr:to>
    <xdr:pic>
      <xdr:nvPicPr>
        <xdr:cNvPr id="993" name="Имя " descr="Descr ">
          <a:extLst>
            <a:ext uri="{FF2B5EF4-FFF2-40B4-BE49-F238E27FC236}">
              <a16:creationId xmlns:a16="http://schemas.microsoft.com/office/drawing/2014/main" id="{00000000-0008-0000-0000-0000E1030000}"/>
            </a:ext>
          </a:extLst>
        </xdr:cNvPr>
        <xdr:cNvPicPr>
          <a:picLocks noChangeAspect="1"/>
        </xdr:cNvPicPr>
      </xdr:nvPicPr>
      <xdr:blipFill>
        <a:blip xmlns:r="http://schemas.openxmlformats.org/officeDocument/2006/relationships" r:embed="rId992"/>
        <a:stretch>
          <a:fillRect/>
        </a:stretch>
      </xdr:blipFill>
      <xdr:spPr>
        <a:prstGeom prst="rect">
          <a:avLst/>
        </a:prstGeom>
        <a:ln w="9525">
          <a:solidFill>
            <a:srgbClr val="000000"/>
          </a:solidFill>
          <a:prstDash val="solid"/>
        </a:ln>
      </xdr:spPr>
    </xdr:pic>
    <xdr:clientData/>
  </xdr:twoCellAnchor>
  <xdr:twoCellAnchor>
    <xdr:from>
      <xdr:col>3</xdr:col>
      <xdr:colOff>114300</xdr:colOff>
      <xdr:row>2527</xdr:row>
      <xdr:rowOff>38100</xdr:rowOff>
    </xdr:from>
    <xdr:to>
      <xdr:col>3</xdr:col>
      <xdr:colOff>1552575</xdr:colOff>
      <xdr:row>2528</xdr:row>
      <xdr:rowOff>638175</xdr:rowOff>
    </xdr:to>
    <xdr:pic>
      <xdr:nvPicPr>
        <xdr:cNvPr id="994" name="Имя " descr="Descr ">
          <a:extLst>
            <a:ext uri="{FF2B5EF4-FFF2-40B4-BE49-F238E27FC236}">
              <a16:creationId xmlns:a16="http://schemas.microsoft.com/office/drawing/2014/main" id="{00000000-0008-0000-0000-0000E2030000}"/>
            </a:ext>
          </a:extLst>
        </xdr:cNvPr>
        <xdr:cNvPicPr>
          <a:picLocks noChangeAspect="1"/>
        </xdr:cNvPicPr>
      </xdr:nvPicPr>
      <xdr:blipFill>
        <a:blip xmlns:r="http://schemas.openxmlformats.org/officeDocument/2006/relationships" r:embed="rId993"/>
        <a:stretch>
          <a:fillRect/>
        </a:stretch>
      </xdr:blipFill>
      <xdr:spPr>
        <a:prstGeom prst="rect">
          <a:avLst/>
        </a:prstGeom>
        <a:ln w="9525">
          <a:solidFill>
            <a:srgbClr val="000000"/>
          </a:solidFill>
          <a:prstDash val="solid"/>
        </a:ln>
      </xdr:spPr>
    </xdr:pic>
    <xdr:clientData/>
  </xdr:twoCellAnchor>
  <xdr:twoCellAnchor>
    <xdr:from>
      <xdr:col>3</xdr:col>
      <xdr:colOff>114300</xdr:colOff>
      <xdr:row>2529</xdr:row>
      <xdr:rowOff>38100</xdr:rowOff>
    </xdr:from>
    <xdr:to>
      <xdr:col>3</xdr:col>
      <xdr:colOff>1552575</xdr:colOff>
      <xdr:row>2530</xdr:row>
      <xdr:rowOff>638175</xdr:rowOff>
    </xdr:to>
    <xdr:pic>
      <xdr:nvPicPr>
        <xdr:cNvPr id="995" name="Имя " descr="Descr ">
          <a:extLst>
            <a:ext uri="{FF2B5EF4-FFF2-40B4-BE49-F238E27FC236}">
              <a16:creationId xmlns:a16="http://schemas.microsoft.com/office/drawing/2014/main" id="{00000000-0008-0000-0000-0000E3030000}"/>
            </a:ext>
          </a:extLst>
        </xdr:cNvPr>
        <xdr:cNvPicPr>
          <a:picLocks noChangeAspect="1"/>
        </xdr:cNvPicPr>
      </xdr:nvPicPr>
      <xdr:blipFill>
        <a:blip xmlns:r="http://schemas.openxmlformats.org/officeDocument/2006/relationships" r:embed="rId994"/>
        <a:stretch>
          <a:fillRect/>
        </a:stretch>
      </xdr:blipFill>
      <xdr:spPr>
        <a:prstGeom prst="rect">
          <a:avLst/>
        </a:prstGeom>
        <a:ln w="9525">
          <a:solidFill>
            <a:srgbClr val="000000"/>
          </a:solidFill>
          <a:prstDash val="solid"/>
        </a:ln>
      </xdr:spPr>
    </xdr:pic>
    <xdr:clientData/>
  </xdr:twoCellAnchor>
  <xdr:twoCellAnchor>
    <xdr:from>
      <xdr:col>3</xdr:col>
      <xdr:colOff>114300</xdr:colOff>
      <xdr:row>2531</xdr:row>
      <xdr:rowOff>28575</xdr:rowOff>
    </xdr:from>
    <xdr:to>
      <xdr:col>3</xdr:col>
      <xdr:colOff>1552575</xdr:colOff>
      <xdr:row>2531</xdr:row>
      <xdr:rowOff>1266825</xdr:rowOff>
    </xdr:to>
    <xdr:pic>
      <xdr:nvPicPr>
        <xdr:cNvPr id="996" name="Имя " descr="Descr ">
          <a:extLst>
            <a:ext uri="{FF2B5EF4-FFF2-40B4-BE49-F238E27FC236}">
              <a16:creationId xmlns:a16="http://schemas.microsoft.com/office/drawing/2014/main" id="{00000000-0008-0000-0000-0000E4030000}"/>
            </a:ext>
          </a:extLst>
        </xdr:cNvPr>
        <xdr:cNvPicPr>
          <a:picLocks noChangeAspect="1"/>
        </xdr:cNvPicPr>
      </xdr:nvPicPr>
      <xdr:blipFill>
        <a:blip xmlns:r="http://schemas.openxmlformats.org/officeDocument/2006/relationships" r:embed="rId995"/>
        <a:stretch>
          <a:fillRect/>
        </a:stretch>
      </xdr:blipFill>
      <xdr:spPr>
        <a:prstGeom prst="rect">
          <a:avLst/>
        </a:prstGeom>
        <a:ln w="9525">
          <a:solidFill>
            <a:srgbClr val="000000"/>
          </a:solidFill>
          <a:prstDash val="solid"/>
        </a:ln>
      </xdr:spPr>
    </xdr:pic>
    <xdr:clientData/>
  </xdr:twoCellAnchor>
  <xdr:twoCellAnchor>
    <xdr:from>
      <xdr:col>3</xdr:col>
      <xdr:colOff>114300</xdr:colOff>
      <xdr:row>2532</xdr:row>
      <xdr:rowOff>28575</xdr:rowOff>
    </xdr:from>
    <xdr:to>
      <xdr:col>3</xdr:col>
      <xdr:colOff>1552575</xdr:colOff>
      <xdr:row>2535</xdr:row>
      <xdr:rowOff>209550</xdr:rowOff>
    </xdr:to>
    <xdr:pic>
      <xdr:nvPicPr>
        <xdr:cNvPr id="997" name="Имя " descr="Descr ">
          <a:extLst>
            <a:ext uri="{FF2B5EF4-FFF2-40B4-BE49-F238E27FC236}">
              <a16:creationId xmlns:a16="http://schemas.microsoft.com/office/drawing/2014/main" id="{00000000-0008-0000-0000-0000E5030000}"/>
            </a:ext>
          </a:extLst>
        </xdr:cNvPr>
        <xdr:cNvPicPr>
          <a:picLocks noChangeAspect="1"/>
        </xdr:cNvPicPr>
      </xdr:nvPicPr>
      <xdr:blipFill>
        <a:blip xmlns:r="http://schemas.openxmlformats.org/officeDocument/2006/relationships" r:embed="rId996"/>
        <a:stretch>
          <a:fillRect/>
        </a:stretch>
      </xdr:blipFill>
      <xdr:spPr>
        <a:prstGeom prst="rect">
          <a:avLst/>
        </a:prstGeom>
        <a:ln w="9525">
          <a:solidFill>
            <a:srgbClr val="000000"/>
          </a:solidFill>
          <a:prstDash val="solid"/>
        </a:ln>
      </xdr:spPr>
    </xdr:pic>
    <xdr:clientData/>
  </xdr:twoCellAnchor>
  <xdr:twoCellAnchor>
    <xdr:from>
      <xdr:col>3</xdr:col>
      <xdr:colOff>114300</xdr:colOff>
      <xdr:row>2536</xdr:row>
      <xdr:rowOff>28575</xdr:rowOff>
    </xdr:from>
    <xdr:to>
      <xdr:col>3</xdr:col>
      <xdr:colOff>1552575</xdr:colOff>
      <xdr:row>2540</xdr:row>
      <xdr:rowOff>333375</xdr:rowOff>
    </xdr:to>
    <xdr:pic>
      <xdr:nvPicPr>
        <xdr:cNvPr id="998" name="Имя " descr="Descr ">
          <a:extLst>
            <a:ext uri="{FF2B5EF4-FFF2-40B4-BE49-F238E27FC236}">
              <a16:creationId xmlns:a16="http://schemas.microsoft.com/office/drawing/2014/main" id="{00000000-0008-0000-0000-0000E6030000}"/>
            </a:ext>
          </a:extLst>
        </xdr:cNvPr>
        <xdr:cNvPicPr>
          <a:picLocks noChangeAspect="1"/>
        </xdr:cNvPicPr>
      </xdr:nvPicPr>
      <xdr:blipFill>
        <a:blip xmlns:r="http://schemas.openxmlformats.org/officeDocument/2006/relationships" r:embed="rId997"/>
        <a:stretch>
          <a:fillRect/>
        </a:stretch>
      </xdr:blipFill>
      <xdr:spPr>
        <a:prstGeom prst="rect">
          <a:avLst/>
        </a:prstGeom>
        <a:ln w="9525">
          <a:solidFill>
            <a:srgbClr val="000000"/>
          </a:solidFill>
          <a:prstDash val="solid"/>
        </a:ln>
      </xdr:spPr>
    </xdr:pic>
    <xdr:clientData/>
  </xdr:twoCellAnchor>
  <xdr:twoCellAnchor>
    <xdr:from>
      <xdr:col>3</xdr:col>
      <xdr:colOff>114300</xdr:colOff>
      <xdr:row>2541</xdr:row>
      <xdr:rowOff>28575</xdr:rowOff>
    </xdr:from>
    <xdr:to>
      <xdr:col>3</xdr:col>
      <xdr:colOff>1552575</xdr:colOff>
      <xdr:row>2545</xdr:row>
      <xdr:rowOff>333375</xdr:rowOff>
    </xdr:to>
    <xdr:pic>
      <xdr:nvPicPr>
        <xdr:cNvPr id="999" name="Имя " descr="Descr ">
          <a:extLst>
            <a:ext uri="{FF2B5EF4-FFF2-40B4-BE49-F238E27FC236}">
              <a16:creationId xmlns:a16="http://schemas.microsoft.com/office/drawing/2014/main" id="{00000000-0008-0000-0000-0000E7030000}"/>
            </a:ext>
          </a:extLst>
        </xdr:cNvPr>
        <xdr:cNvPicPr>
          <a:picLocks noChangeAspect="1"/>
        </xdr:cNvPicPr>
      </xdr:nvPicPr>
      <xdr:blipFill>
        <a:blip xmlns:r="http://schemas.openxmlformats.org/officeDocument/2006/relationships" r:embed="rId998"/>
        <a:stretch>
          <a:fillRect/>
        </a:stretch>
      </xdr:blipFill>
      <xdr:spPr>
        <a:prstGeom prst="rect">
          <a:avLst/>
        </a:prstGeom>
        <a:ln w="9525">
          <a:solidFill>
            <a:srgbClr val="000000"/>
          </a:solidFill>
          <a:prstDash val="solid"/>
        </a:ln>
      </xdr:spPr>
    </xdr:pic>
    <xdr:clientData/>
  </xdr:twoCellAnchor>
  <xdr:twoCellAnchor>
    <xdr:from>
      <xdr:col>3</xdr:col>
      <xdr:colOff>114300</xdr:colOff>
      <xdr:row>2546</xdr:row>
      <xdr:rowOff>38100</xdr:rowOff>
    </xdr:from>
    <xdr:to>
      <xdr:col>3</xdr:col>
      <xdr:colOff>1552575</xdr:colOff>
      <xdr:row>2547</xdr:row>
      <xdr:rowOff>638175</xdr:rowOff>
    </xdr:to>
    <xdr:pic>
      <xdr:nvPicPr>
        <xdr:cNvPr id="1000" name="Имя " descr="Descr ">
          <a:extLst>
            <a:ext uri="{FF2B5EF4-FFF2-40B4-BE49-F238E27FC236}">
              <a16:creationId xmlns:a16="http://schemas.microsoft.com/office/drawing/2014/main" id="{00000000-0008-0000-0000-0000E8030000}"/>
            </a:ext>
          </a:extLst>
        </xdr:cNvPr>
        <xdr:cNvPicPr>
          <a:picLocks noChangeAspect="1"/>
        </xdr:cNvPicPr>
      </xdr:nvPicPr>
      <xdr:blipFill>
        <a:blip xmlns:r="http://schemas.openxmlformats.org/officeDocument/2006/relationships" r:embed="rId999"/>
        <a:stretch>
          <a:fillRect/>
        </a:stretch>
      </xdr:blipFill>
      <xdr:spPr>
        <a:prstGeom prst="rect">
          <a:avLst/>
        </a:prstGeom>
        <a:ln w="9525">
          <a:solidFill>
            <a:srgbClr val="000000"/>
          </a:solidFill>
          <a:prstDash val="solid"/>
        </a:ln>
      </xdr:spPr>
    </xdr:pic>
    <xdr:clientData/>
  </xdr:twoCellAnchor>
  <xdr:twoCellAnchor>
    <xdr:from>
      <xdr:col>3</xdr:col>
      <xdr:colOff>114300</xdr:colOff>
      <xdr:row>2548</xdr:row>
      <xdr:rowOff>38100</xdr:rowOff>
    </xdr:from>
    <xdr:to>
      <xdr:col>3</xdr:col>
      <xdr:colOff>1552575</xdr:colOff>
      <xdr:row>2549</xdr:row>
      <xdr:rowOff>638175</xdr:rowOff>
    </xdr:to>
    <xdr:pic>
      <xdr:nvPicPr>
        <xdr:cNvPr id="1001" name="Имя " descr="Descr ">
          <a:extLst>
            <a:ext uri="{FF2B5EF4-FFF2-40B4-BE49-F238E27FC236}">
              <a16:creationId xmlns:a16="http://schemas.microsoft.com/office/drawing/2014/main" id="{00000000-0008-0000-0000-0000E9030000}"/>
            </a:ext>
          </a:extLst>
        </xdr:cNvPr>
        <xdr:cNvPicPr>
          <a:picLocks noChangeAspect="1"/>
        </xdr:cNvPicPr>
      </xdr:nvPicPr>
      <xdr:blipFill>
        <a:blip xmlns:r="http://schemas.openxmlformats.org/officeDocument/2006/relationships" r:embed="rId1000"/>
        <a:stretch>
          <a:fillRect/>
        </a:stretch>
      </xdr:blipFill>
      <xdr:spPr>
        <a:prstGeom prst="rect">
          <a:avLst/>
        </a:prstGeom>
        <a:ln w="9525">
          <a:solidFill>
            <a:srgbClr val="000000"/>
          </a:solidFill>
          <a:prstDash val="solid"/>
        </a:ln>
      </xdr:spPr>
    </xdr:pic>
    <xdr:clientData/>
  </xdr:twoCellAnchor>
  <xdr:twoCellAnchor>
    <xdr:from>
      <xdr:col>3</xdr:col>
      <xdr:colOff>114300</xdr:colOff>
      <xdr:row>2550</xdr:row>
      <xdr:rowOff>28575</xdr:rowOff>
    </xdr:from>
    <xdr:to>
      <xdr:col>3</xdr:col>
      <xdr:colOff>1552575</xdr:colOff>
      <xdr:row>2550</xdr:row>
      <xdr:rowOff>1266825</xdr:rowOff>
    </xdr:to>
    <xdr:pic>
      <xdr:nvPicPr>
        <xdr:cNvPr id="1002" name="Имя " descr="Descr ">
          <a:extLst>
            <a:ext uri="{FF2B5EF4-FFF2-40B4-BE49-F238E27FC236}">
              <a16:creationId xmlns:a16="http://schemas.microsoft.com/office/drawing/2014/main" id="{00000000-0008-0000-0000-0000EA030000}"/>
            </a:ext>
          </a:extLst>
        </xdr:cNvPr>
        <xdr:cNvPicPr>
          <a:picLocks noChangeAspect="1"/>
        </xdr:cNvPicPr>
      </xdr:nvPicPr>
      <xdr:blipFill>
        <a:blip xmlns:r="http://schemas.openxmlformats.org/officeDocument/2006/relationships" r:embed="rId1001"/>
        <a:stretch>
          <a:fillRect/>
        </a:stretch>
      </xdr:blipFill>
      <xdr:spPr>
        <a:prstGeom prst="rect">
          <a:avLst/>
        </a:prstGeom>
        <a:ln w="9525">
          <a:solidFill>
            <a:srgbClr val="000000"/>
          </a:solidFill>
          <a:prstDash val="solid"/>
        </a:ln>
      </xdr:spPr>
    </xdr:pic>
    <xdr:clientData/>
  </xdr:twoCellAnchor>
  <xdr:twoCellAnchor>
    <xdr:from>
      <xdr:col>3</xdr:col>
      <xdr:colOff>114300</xdr:colOff>
      <xdr:row>2551</xdr:row>
      <xdr:rowOff>28575</xdr:rowOff>
    </xdr:from>
    <xdr:to>
      <xdr:col>3</xdr:col>
      <xdr:colOff>1552575</xdr:colOff>
      <xdr:row>2553</xdr:row>
      <xdr:rowOff>419100</xdr:rowOff>
    </xdr:to>
    <xdr:pic>
      <xdr:nvPicPr>
        <xdr:cNvPr id="1003" name="Имя " descr="Descr ">
          <a:extLst>
            <a:ext uri="{FF2B5EF4-FFF2-40B4-BE49-F238E27FC236}">
              <a16:creationId xmlns:a16="http://schemas.microsoft.com/office/drawing/2014/main" id="{00000000-0008-0000-0000-0000EB030000}"/>
            </a:ext>
          </a:extLst>
        </xdr:cNvPr>
        <xdr:cNvPicPr>
          <a:picLocks noChangeAspect="1"/>
        </xdr:cNvPicPr>
      </xdr:nvPicPr>
      <xdr:blipFill>
        <a:blip xmlns:r="http://schemas.openxmlformats.org/officeDocument/2006/relationships" r:embed="rId1002"/>
        <a:stretch>
          <a:fillRect/>
        </a:stretch>
      </xdr:blipFill>
      <xdr:spPr>
        <a:prstGeom prst="rect">
          <a:avLst/>
        </a:prstGeom>
        <a:ln w="9525">
          <a:solidFill>
            <a:srgbClr val="000000"/>
          </a:solidFill>
          <a:prstDash val="solid"/>
        </a:ln>
      </xdr:spPr>
    </xdr:pic>
    <xdr:clientData/>
  </xdr:twoCellAnchor>
  <xdr:twoCellAnchor>
    <xdr:from>
      <xdr:col>3</xdr:col>
      <xdr:colOff>114300</xdr:colOff>
      <xdr:row>2554</xdr:row>
      <xdr:rowOff>28575</xdr:rowOff>
    </xdr:from>
    <xdr:to>
      <xdr:col>3</xdr:col>
      <xdr:colOff>1552575</xdr:colOff>
      <xdr:row>2557</xdr:row>
      <xdr:rowOff>209550</xdr:rowOff>
    </xdr:to>
    <xdr:pic>
      <xdr:nvPicPr>
        <xdr:cNvPr id="1004" name="Имя " descr="Descr ">
          <a:extLst>
            <a:ext uri="{FF2B5EF4-FFF2-40B4-BE49-F238E27FC236}">
              <a16:creationId xmlns:a16="http://schemas.microsoft.com/office/drawing/2014/main" id="{00000000-0008-0000-0000-0000EC030000}"/>
            </a:ext>
          </a:extLst>
        </xdr:cNvPr>
        <xdr:cNvPicPr>
          <a:picLocks noChangeAspect="1"/>
        </xdr:cNvPicPr>
      </xdr:nvPicPr>
      <xdr:blipFill>
        <a:blip xmlns:r="http://schemas.openxmlformats.org/officeDocument/2006/relationships" r:embed="rId1003"/>
        <a:stretch>
          <a:fillRect/>
        </a:stretch>
      </xdr:blipFill>
      <xdr:spPr>
        <a:prstGeom prst="rect">
          <a:avLst/>
        </a:prstGeom>
        <a:ln w="9525">
          <a:solidFill>
            <a:srgbClr val="000000"/>
          </a:solidFill>
          <a:prstDash val="solid"/>
        </a:ln>
      </xdr:spPr>
    </xdr:pic>
    <xdr:clientData/>
  </xdr:twoCellAnchor>
  <xdr:twoCellAnchor>
    <xdr:from>
      <xdr:col>3</xdr:col>
      <xdr:colOff>114300</xdr:colOff>
      <xdr:row>2558</xdr:row>
      <xdr:rowOff>28575</xdr:rowOff>
    </xdr:from>
    <xdr:to>
      <xdr:col>3</xdr:col>
      <xdr:colOff>1552575</xdr:colOff>
      <xdr:row>2562</xdr:row>
      <xdr:rowOff>333375</xdr:rowOff>
    </xdr:to>
    <xdr:pic>
      <xdr:nvPicPr>
        <xdr:cNvPr id="1005" name="Имя " descr="Descr ">
          <a:extLst>
            <a:ext uri="{FF2B5EF4-FFF2-40B4-BE49-F238E27FC236}">
              <a16:creationId xmlns:a16="http://schemas.microsoft.com/office/drawing/2014/main" id="{00000000-0008-0000-0000-0000ED030000}"/>
            </a:ext>
          </a:extLst>
        </xdr:cNvPr>
        <xdr:cNvPicPr>
          <a:picLocks noChangeAspect="1"/>
        </xdr:cNvPicPr>
      </xdr:nvPicPr>
      <xdr:blipFill>
        <a:blip xmlns:r="http://schemas.openxmlformats.org/officeDocument/2006/relationships" r:embed="rId1004"/>
        <a:stretch>
          <a:fillRect/>
        </a:stretch>
      </xdr:blipFill>
      <xdr:spPr>
        <a:prstGeom prst="rect">
          <a:avLst/>
        </a:prstGeom>
        <a:ln w="9525">
          <a:solidFill>
            <a:srgbClr val="000000"/>
          </a:solidFill>
          <a:prstDash val="solid"/>
        </a:ln>
      </xdr:spPr>
    </xdr:pic>
    <xdr:clientData/>
  </xdr:twoCellAnchor>
  <xdr:twoCellAnchor>
    <xdr:from>
      <xdr:col>3</xdr:col>
      <xdr:colOff>114300</xdr:colOff>
      <xdr:row>2563</xdr:row>
      <xdr:rowOff>28575</xdr:rowOff>
    </xdr:from>
    <xdr:to>
      <xdr:col>3</xdr:col>
      <xdr:colOff>1552575</xdr:colOff>
      <xdr:row>2563</xdr:row>
      <xdr:rowOff>1266825</xdr:rowOff>
    </xdr:to>
    <xdr:pic>
      <xdr:nvPicPr>
        <xdr:cNvPr id="1006" name="Имя " descr="Descr ">
          <a:extLst>
            <a:ext uri="{FF2B5EF4-FFF2-40B4-BE49-F238E27FC236}">
              <a16:creationId xmlns:a16="http://schemas.microsoft.com/office/drawing/2014/main" id="{00000000-0008-0000-0000-0000EE030000}"/>
            </a:ext>
          </a:extLst>
        </xdr:cNvPr>
        <xdr:cNvPicPr>
          <a:picLocks noChangeAspect="1"/>
        </xdr:cNvPicPr>
      </xdr:nvPicPr>
      <xdr:blipFill>
        <a:blip xmlns:r="http://schemas.openxmlformats.org/officeDocument/2006/relationships" r:embed="rId1005"/>
        <a:stretch>
          <a:fillRect/>
        </a:stretch>
      </xdr:blipFill>
      <xdr:spPr>
        <a:prstGeom prst="rect">
          <a:avLst/>
        </a:prstGeom>
        <a:ln w="9525">
          <a:solidFill>
            <a:srgbClr val="000000"/>
          </a:solidFill>
          <a:prstDash val="solid"/>
        </a:ln>
      </xdr:spPr>
    </xdr:pic>
    <xdr:clientData/>
  </xdr:twoCellAnchor>
  <xdr:twoCellAnchor>
    <xdr:from>
      <xdr:col>3</xdr:col>
      <xdr:colOff>114300</xdr:colOff>
      <xdr:row>2564</xdr:row>
      <xdr:rowOff>28575</xdr:rowOff>
    </xdr:from>
    <xdr:to>
      <xdr:col>3</xdr:col>
      <xdr:colOff>1552575</xdr:colOff>
      <xdr:row>2564</xdr:row>
      <xdr:rowOff>1266825</xdr:rowOff>
    </xdr:to>
    <xdr:pic>
      <xdr:nvPicPr>
        <xdr:cNvPr id="1007" name="Имя " descr="Descr ">
          <a:extLst>
            <a:ext uri="{FF2B5EF4-FFF2-40B4-BE49-F238E27FC236}">
              <a16:creationId xmlns:a16="http://schemas.microsoft.com/office/drawing/2014/main" id="{00000000-0008-0000-0000-0000EF030000}"/>
            </a:ext>
          </a:extLst>
        </xdr:cNvPr>
        <xdr:cNvPicPr>
          <a:picLocks noChangeAspect="1"/>
        </xdr:cNvPicPr>
      </xdr:nvPicPr>
      <xdr:blipFill>
        <a:blip xmlns:r="http://schemas.openxmlformats.org/officeDocument/2006/relationships" r:embed="rId1006"/>
        <a:stretch>
          <a:fillRect/>
        </a:stretch>
      </xdr:blipFill>
      <xdr:spPr>
        <a:prstGeom prst="rect">
          <a:avLst/>
        </a:prstGeom>
        <a:ln w="9525">
          <a:solidFill>
            <a:srgbClr val="000000"/>
          </a:solidFill>
          <a:prstDash val="solid"/>
        </a:ln>
      </xdr:spPr>
    </xdr:pic>
    <xdr:clientData/>
  </xdr:twoCellAnchor>
  <xdr:twoCellAnchor>
    <xdr:from>
      <xdr:col>3</xdr:col>
      <xdr:colOff>114300</xdr:colOff>
      <xdr:row>2565</xdr:row>
      <xdr:rowOff>28575</xdr:rowOff>
    </xdr:from>
    <xdr:to>
      <xdr:col>3</xdr:col>
      <xdr:colOff>1552575</xdr:colOff>
      <xdr:row>2565</xdr:row>
      <xdr:rowOff>1266825</xdr:rowOff>
    </xdr:to>
    <xdr:pic>
      <xdr:nvPicPr>
        <xdr:cNvPr id="1008" name="Имя " descr="Descr ">
          <a:extLst>
            <a:ext uri="{FF2B5EF4-FFF2-40B4-BE49-F238E27FC236}">
              <a16:creationId xmlns:a16="http://schemas.microsoft.com/office/drawing/2014/main" id="{00000000-0008-0000-0000-0000F0030000}"/>
            </a:ext>
          </a:extLst>
        </xdr:cNvPr>
        <xdr:cNvPicPr>
          <a:picLocks noChangeAspect="1"/>
        </xdr:cNvPicPr>
      </xdr:nvPicPr>
      <xdr:blipFill>
        <a:blip xmlns:r="http://schemas.openxmlformats.org/officeDocument/2006/relationships" r:embed="rId1007"/>
        <a:stretch>
          <a:fillRect/>
        </a:stretch>
      </xdr:blipFill>
      <xdr:spPr>
        <a:prstGeom prst="rect">
          <a:avLst/>
        </a:prstGeom>
        <a:ln w="9525">
          <a:solidFill>
            <a:srgbClr val="000000"/>
          </a:solidFill>
          <a:prstDash val="solid"/>
        </a:ln>
      </xdr:spPr>
    </xdr:pic>
    <xdr:clientData/>
  </xdr:twoCellAnchor>
  <xdr:twoCellAnchor>
    <xdr:from>
      <xdr:col>3</xdr:col>
      <xdr:colOff>114300</xdr:colOff>
      <xdr:row>2566</xdr:row>
      <xdr:rowOff>28575</xdr:rowOff>
    </xdr:from>
    <xdr:to>
      <xdr:col>3</xdr:col>
      <xdr:colOff>1552575</xdr:colOff>
      <xdr:row>2566</xdr:row>
      <xdr:rowOff>1266825</xdr:rowOff>
    </xdr:to>
    <xdr:pic>
      <xdr:nvPicPr>
        <xdr:cNvPr id="1009" name="Имя " descr="Descr ">
          <a:extLst>
            <a:ext uri="{FF2B5EF4-FFF2-40B4-BE49-F238E27FC236}">
              <a16:creationId xmlns:a16="http://schemas.microsoft.com/office/drawing/2014/main" id="{00000000-0008-0000-0000-0000F1030000}"/>
            </a:ext>
          </a:extLst>
        </xdr:cNvPr>
        <xdr:cNvPicPr>
          <a:picLocks noChangeAspect="1"/>
        </xdr:cNvPicPr>
      </xdr:nvPicPr>
      <xdr:blipFill>
        <a:blip xmlns:r="http://schemas.openxmlformats.org/officeDocument/2006/relationships" r:embed="rId1008"/>
        <a:stretch>
          <a:fillRect/>
        </a:stretch>
      </xdr:blipFill>
      <xdr:spPr>
        <a:prstGeom prst="rect">
          <a:avLst/>
        </a:prstGeom>
        <a:ln w="9525">
          <a:solidFill>
            <a:srgbClr val="000000"/>
          </a:solidFill>
          <a:prstDash val="solid"/>
        </a:ln>
      </xdr:spPr>
    </xdr:pic>
    <xdr:clientData/>
  </xdr:twoCellAnchor>
  <xdr:twoCellAnchor>
    <xdr:from>
      <xdr:col>3</xdr:col>
      <xdr:colOff>114300</xdr:colOff>
      <xdr:row>2567</xdr:row>
      <xdr:rowOff>28575</xdr:rowOff>
    </xdr:from>
    <xdr:to>
      <xdr:col>3</xdr:col>
      <xdr:colOff>1552575</xdr:colOff>
      <xdr:row>2567</xdr:row>
      <xdr:rowOff>1266825</xdr:rowOff>
    </xdr:to>
    <xdr:pic>
      <xdr:nvPicPr>
        <xdr:cNvPr id="1010" name="Имя " descr="Descr ">
          <a:extLst>
            <a:ext uri="{FF2B5EF4-FFF2-40B4-BE49-F238E27FC236}">
              <a16:creationId xmlns:a16="http://schemas.microsoft.com/office/drawing/2014/main" id="{00000000-0008-0000-0000-0000F2030000}"/>
            </a:ext>
          </a:extLst>
        </xdr:cNvPr>
        <xdr:cNvPicPr>
          <a:picLocks noChangeAspect="1"/>
        </xdr:cNvPicPr>
      </xdr:nvPicPr>
      <xdr:blipFill>
        <a:blip xmlns:r="http://schemas.openxmlformats.org/officeDocument/2006/relationships" r:embed="rId1009"/>
        <a:stretch>
          <a:fillRect/>
        </a:stretch>
      </xdr:blipFill>
      <xdr:spPr>
        <a:prstGeom prst="rect">
          <a:avLst/>
        </a:prstGeom>
        <a:ln w="9525">
          <a:solidFill>
            <a:srgbClr val="000000"/>
          </a:solidFill>
          <a:prstDash val="solid"/>
        </a:ln>
      </xdr:spPr>
    </xdr:pic>
    <xdr:clientData/>
  </xdr:twoCellAnchor>
  <xdr:twoCellAnchor>
    <xdr:from>
      <xdr:col>3</xdr:col>
      <xdr:colOff>114300</xdr:colOff>
      <xdr:row>2568</xdr:row>
      <xdr:rowOff>28575</xdr:rowOff>
    </xdr:from>
    <xdr:to>
      <xdr:col>3</xdr:col>
      <xdr:colOff>1552575</xdr:colOff>
      <xdr:row>2568</xdr:row>
      <xdr:rowOff>1266825</xdr:rowOff>
    </xdr:to>
    <xdr:pic>
      <xdr:nvPicPr>
        <xdr:cNvPr id="1011" name="Имя " descr="Descr ">
          <a:extLst>
            <a:ext uri="{FF2B5EF4-FFF2-40B4-BE49-F238E27FC236}">
              <a16:creationId xmlns:a16="http://schemas.microsoft.com/office/drawing/2014/main" id="{00000000-0008-0000-0000-0000F3030000}"/>
            </a:ext>
          </a:extLst>
        </xdr:cNvPr>
        <xdr:cNvPicPr>
          <a:picLocks noChangeAspect="1"/>
        </xdr:cNvPicPr>
      </xdr:nvPicPr>
      <xdr:blipFill>
        <a:blip xmlns:r="http://schemas.openxmlformats.org/officeDocument/2006/relationships" r:embed="rId1010"/>
        <a:stretch>
          <a:fillRect/>
        </a:stretch>
      </xdr:blipFill>
      <xdr:spPr>
        <a:prstGeom prst="rect">
          <a:avLst/>
        </a:prstGeom>
        <a:ln w="9525">
          <a:solidFill>
            <a:srgbClr val="000000"/>
          </a:solidFill>
          <a:prstDash val="solid"/>
        </a:ln>
      </xdr:spPr>
    </xdr:pic>
    <xdr:clientData/>
  </xdr:twoCellAnchor>
  <xdr:twoCellAnchor>
    <xdr:from>
      <xdr:col>3</xdr:col>
      <xdr:colOff>114300</xdr:colOff>
      <xdr:row>2569</xdr:row>
      <xdr:rowOff>28575</xdr:rowOff>
    </xdr:from>
    <xdr:to>
      <xdr:col>3</xdr:col>
      <xdr:colOff>1552575</xdr:colOff>
      <xdr:row>2569</xdr:row>
      <xdr:rowOff>1266825</xdr:rowOff>
    </xdr:to>
    <xdr:pic>
      <xdr:nvPicPr>
        <xdr:cNvPr id="1012" name="Имя " descr="Descr ">
          <a:extLst>
            <a:ext uri="{FF2B5EF4-FFF2-40B4-BE49-F238E27FC236}">
              <a16:creationId xmlns:a16="http://schemas.microsoft.com/office/drawing/2014/main" id="{00000000-0008-0000-0000-0000F4030000}"/>
            </a:ext>
          </a:extLst>
        </xdr:cNvPr>
        <xdr:cNvPicPr>
          <a:picLocks noChangeAspect="1"/>
        </xdr:cNvPicPr>
      </xdr:nvPicPr>
      <xdr:blipFill>
        <a:blip xmlns:r="http://schemas.openxmlformats.org/officeDocument/2006/relationships" r:embed="rId1011"/>
        <a:stretch>
          <a:fillRect/>
        </a:stretch>
      </xdr:blipFill>
      <xdr:spPr>
        <a:prstGeom prst="rect">
          <a:avLst/>
        </a:prstGeom>
        <a:ln w="9525">
          <a:solidFill>
            <a:srgbClr val="000000"/>
          </a:solidFill>
          <a:prstDash val="solid"/>
        </a:ln>
      </xdr:spPr>
    </xdr:pic>
    <xdr:clientData/>
  </xdr:twoCellAnchor>
  <xdr:twoCellAnchor>
    <xdr:from>
      <xdr:col>3</xdr:col>
      <xdr:colOff>114300</xdr:colOff>
      <xdr:row>2570</xdr:row>
      <xdr:rowOff>28575</xdr:rowOff>
    </xdr:from>
    <xdr:to>
      <xdr:col>3</xdr:col>
      <xdr:colOff>1552575</xdr:colOff>
      <xdr:row>2570</xdr:row>
      <xdr:rowOff>1266825</xdr:rowOff>
    </xdr:to>
    <xdr:pic>
      <xdr:nvPicPr>
        <xdr:cNvPr id="1013" name="Имя " descr="Descr ">
          <a:extLst>
            <a:ext uri="{FF2B5EF4-FFF2-40B4-BE49-F238E27FC236}">
              <a16:creationId xmlns:a16="http://schemas.microsoft.com/office/drawing/2014/main" id="{00000000-0008-0000-0000-0000F5030000}"/>
            </a:ext>
          </a:extLst>
        </xdr:cNvPr>
        <xdr:cNvPicPr>
          <a:picLocks noChangeAspect="1"/>
        </xdr:cNvPicPr>
      </xdr:nvPicPr>
      <xdr:blipFill>
        <a:blip xmlns:r="http://schemas.openxmlformats.org/officeDocument/2006/relationships" r:embed="rId1012"/>
        <a:stretch>
          <a:fillRect/>
        </a:stretch>
      </xdr:blipFill>
      <xdr:spPr>
        <a:prstGeom prst="rect">
          <a:avLst/>
        </a:prstGeom>
        <a:ln w="9525">
          <a:solidFill>
            <a:srgbClr val="000000"/>
          </a:solidFill>
          <a:prstDash val="solid"/>
        </a:ln>
      </xdr:spPr>
    </xdr:pic>
    <xdr:clientData/>
  </xdr:twoCellAnchor>
  <xdr:twoCellAnchor>
    <xdr:from>
      <xdr:col>3</xdr:col>
      <xdr:colOff>114300</xdr:colOff>
      <xdr:row>2571</xdr:row>
      <xdr:rowOff>28575</xdr:rowOff>
    </xdr:from>
    <xdr:to>
      <xdr:col>3</xdr:col>
      <xdr:colOff>1552575</xdr:colOff>
      <xdr:row>2571</xdr:row>
      <xdr:rowOff>1266825</xdr:rowOff>
    </xdr:to>
    <xdr:pic>
      <xdr:nvPicPr>
        <xdr:cNvPr id="1014" name="Имя " descr="Descr ">
          <a:extLst>
            <a:ext uri="{FF2B5EF4-FFF2-40B4-BE49-F238E27FC236}">
              <a16:creationId xmlns:a16="http://schemas.microsoft.com/office/drawing/2014/main" id="{00000000-0008-0000-0000-0000F6030000}"/>
            </a:ext>
          </a:extLst>
        </xdr:cNvPr>
        <xdr:cNvPicPr>
          <a:picLocks noChangeAspect="1"/>
        </xdr:cNvPicPr>
      </xdr:nvPicPr>
      <xdr:blipFill>
        <a:blip xmlns:r="http://schemas.openxmlformats.org/officeDocument/2006/relationships" r:embed="rId1013"/>
        <a:stretch>
          <a:fillRect/>
        </a:stretch>
      </xdr:blipFill>
      <xdr:spPr>
        <a:prstGeom prst="rect">
          <a:avLst/>
        </a:prstGeom>
        <a:ln w="9525">
          <a:solidFill>
            <a:srgbClr val="000000"/>
          </a:solidFill>
          <a:prstDash val="solid"/>
        </a:ln>
      </xdr:spPr>
    </xdr:pic>
    <xdr:clientData/>
  </xdr:twoCellAnchor>
  <xdr:twoCellAnchor>
    <xdr:from>
      <xdr:col>3</xdr:col>
      <xdr:colOff>114300</xdr:colOff>
      <xdr:row>2572</xdr:row>
      <xdr:rowOff>28575</xdr:rowOff>
    </xdr:from>
    <xdr:to>
      <xdr:col>3</xdr:col>
      <xdr:colOff>1552575</xdr:colOff>
      <xdr:row>2572</xdr:row>
      <xdr:rowOff>1266825</xdr:rowOff>
    </xdr:to>
    <xdr:pic>
      <xdr:nvPicPr>
        <xdr:cNvPr id="1015" name="Имя " descr="Descr ">
          <a:extLst>
            <a:ext uri="{FF2B5EF4-FFF2-40B4-BE49-F238E27FC236}">
              <a16:creationId xmlns:a16="http://schemas.microsoft.com/office/drawing/2014/main" id="{00000000-0008-0000-0000-0000F7030000}"/>
            </a:ext>
          </a:extLst>
        </xdr:cNvPr>
        <xdr:cNvPicPr>
          <a:picLocks noChangeAspect="1"/>
        </xdr:cNvPicPr>
      </xdr:nvPicPr>
      <xdr:blipFill>
        <a:blip xmlns:r="http://schemas.openxmlformats.org/officeDocument/2006/relationships" r:embed="rId1014"/>
        <a:stretch>
          <a:fillRect/>
        </a:stretch>
      </xdr:blipFill>
      <xdr:spPr>
        <a:prstGeom prst="rect">
          <a:avLst/>
        </a:prstGeom>
        <a:ln w="9525">
          <a:solidFill>
            <a:srgbClr val="000000"/>
          </a:solidFill>
          <a:prstDash val="solid"/>
        </a:ln>
      </xdr:spPr>
    </xdr:pic>
    <xdr:clientData/>
  </xdr:twoCellAnchor>
  <xdr:twoCellAnchor>
    <xdr:from>
      <xdr:col>3</xdr:col>
      <xdr:colOff>114300</xdr:colOff>
      <xdr:row>2573</xdr:row>
      <xdr:rowOff>28575</xdr:rowOff>
    </xdr:from>
    <xdr:to>
      <xdr:col>3</xdr:col>
      <xdr:colOff>1552575</xdr:colOff>
      <xdr:row>2573</xdr:row>
      <xdr:rowOff>1266825</xdr:rowOff>
    </xdr:to>
    <xdr:pic>
      <xdr:nvPicPr>
        <xdr:cNvPr id="1016" name="Имя " descr="Descr ">
          <a:extLst>
            <a:ext uri="{FF2B5EF4-FFF2-40B4-BE49-F238E27FC236}">
              <a16:creationId xmlns:a16="http://schemas.microsoft.com/office/drawing/2014/main" id="{00000000-0008-0000-0000-0000F8030000}"/>
            </a:ext>
          </a:extLst>
        </xdr:cNvPr>
        <xdr:cNvPicPr>
          <a:picLocks noChangeAspect="1"/>
        </xdr:cNvPicPr>
      </xdr:nvPicPr>
      <xdr:blipFill>
        <a:blip xmlns:r="http://schemas.openxmlformats.org/officeDocument/2006/relationships" r:embed="rId1015"/>
        <a:stretch>
          <a:fillRect/>
        </a:stretch>
      </xdr:blipFill>
      <xdr:spPr>
        <a:prstGeom prst="rect">
          <a:avLst/>
        </a:prstGeom>
        <a:ln w="9525">
          <a:solidFill>
            <a:srgbClr val="000000"/>
          </a:solidFill>
          <a:prstDash val="solid"/>
        </a:ln>
      </xdr:spPr>
    </xdr:pic>
    <xdr:clientData/>
  </xdr:twoCellAnchor>
  <xdr:twoCellAnchor>
    <xdr:from>
      <xdr:col>3</xdr:col>
      <xdr:colOff>114300</xdr:colOff>
      <xdr:row>2574</xdr:row>
      <xdr:rowOff>28575</xdr:rowOff>
    </xdr:from>
    <xdr:to>
      <xdr:col>3</xdr:col>
      <xdr:colOff>1552575</xdr:colOff>
      <xdr:row>2574</xdr:row>
      <xdr:rowOff>1266825</xdr:rowOff>
    </xdr:to>
    <xdr:pic>
      <xdr:nvPicPr>
        <xdr:cNvPr id="1017" name="Имя " descr="Descr ">
          <a:extLst>
            <a:ext uri="{FF2B5EF4-FFF2-40B4-BE49-F238E27FC236}">
              <a16:creationId xmlns:a16="http://schemas.microsoft.com/office/drawing/2014/main" id="{00000000-0008-0000-0000-0000F9030000}"/>
            </a:ext>
          </a:extLst>
        </xdr:cNvPr>
        <xdr:cNvPicPr>
          <a:picLocks noChangeAspect="1"/>
        </xdr:cNvPicPr>
      </xdr:nvPicPr>
      <xdr:blipFill>
        <a:blip xmlns:r="http://schemas.openxmlformats.org/officeDocument/2006/relationships" r:embed="rId1016"/>
        <a:stretch>
          <a:fillRect/>
        </a:stretch>
      </xdr:blipFill>
      <xdr:spPr>
        <a:prstGeom prst="rect">
          <a:avLst/>
        </a:prstGeom>
        <a:ln w="9525">
          <a:solidFill>
            <a:srgbClr val="000000"/>
          </a:solidFill>
          <a:prstDash val="solid"/>
        </a:ln>
      </xdr:spPr>
    </xdr:pic>
    <xdr:clientData/>
  </xdr:twoCellAnchor>
  <xdr:twoCellAnchor>
    <xdr:from>
      <xdr:col>3</xdr:col>
      <xdr:colOff>114300</xdr:colOff>
      <xdr:row>2575</xdr:row>
      <xdr:rowOff>28575</xdr:rowOff>
    </xdr:from>
    <xdr:to>
      <xdr:col>3</xdr:col>
      <xdr:colOff>1552575</xdr:colOff>
      <xdr:row>2575</xdr:row>
      <xdr:rowOff>1266825</xdr:rowOff>
    </xdr:to>
    <xdr:pic>
      <xdr:nvPicPr>
        <xdr:cNvPr id="1018" name="Имя " descr="Descr ">
          <a:extLst>
            <a:ext uri="{FF2B5EF4-FFF2-40B4-BE49-F238E27FC236}">
              <a16:creationId xmlns:a16="http://schemas.microsoft.com/office/drawing/2014/main" id="{00000000-0008-0000-0000-0000FA030000}"/>
            </a:ext>
          </a:extLst>
        </xdr:cNvPr>
        <xdr:cNvPicPr>
          <a:picLocks noChangeAspect="1"/>
        </xdr:cNvPicPr>
      </xdr:nvPicPr>
      <xdr:blipFill>
        <a:blip xmlns:r="http://schemas.openxmlformats.org/officeDocument/2006/relationships" r:embed="rId1017"/>
        <a:stretch>
          <a:fillRect/>
        </a:stretch>
      </xdr:blipFill>
      <xdr:spPr>
        <a:prstGeom prst="rect">
          <a:avLst/>
        </a:prstGeom>
        <a:ln w="9525">
          <a:solidFill>
            <a:srgbClr val="000000"/>
          </a:solidFill>
          <a:prstDash val="solid"/>
        </a:ln>
      </xdr:spPr>
    </xdr:pic>
    <xdr:clientData/>
  </xdr:twoCellAnchor>
  <xdr:twoCellAnchor>
    <xdr:from>
      <xdr:col>3</xdr:col>
      <xdr:colOff>114300</xdr:colOff>
      <xdr:row>2576</xdr:row>
      <xdr:rowOff>28575</xdr:rowOff>
    </xdr:from>
    <xdr:to>
      <xdr:col>3</xdr:col>
      <xdr:colOff>1552575</xdr:colOff>
      <xdr:row>2576</xdr:row>
      <xdr:rowOff>1266825</xdr:rowOff>
    </xdr:to>
    <xdr:pic>
      <xdr:nvPicPr>
        <xdr:cNvPr id="1019" name="Имя " descr="Descr ">
          <a:extLst>
            <a:ext uri="{FF2B5EF4-FFF2-40B4-BE49-F238E27FC236}">
              <a16:creationId xmlns:a16="http://schemas.microsoft.com/office/drawing/2014/main" id="{00000000-0008-0000-0000-0000FB030000}"/>
            </a:ext>
          </a:extLst>
        </xdr:cNvPr>
        <xdr:cNvPicPr>
          <a:picLocks noChangeAspect="1"/>
        </xdr:cNvPicPr>
      </xdr:nvPicPr>
      <xdr:blipFill>
        <a:blip xmlns:r="http://schemas.openxmlformats.org/officeDocument/2006/relationships" r:embed="rId1018"/>
        <a:stretch>
          <a:fillRect/>
        </a:stretch>
      </xdr:blipFill>
      <xdr:spPr>
        <a:prstGeom prst="rect">
          <a:avLst/>
        </a:prstGeom>
        <a:ln w="9525">
          <a:solidFill>
            <a:srgbClr val="000000"/>
          </a:solidFill>
          <a:prstDash val="solid"/>
        </a:ln>
      </xdr:spPr>
    </xdr:pic>
    <xdr:clientData/>
  </xdr:twoCellAnchor>
  <xdr:twoCellAnchor>
    <xdr:from>
      <xdr:col>3</xdr:col>
      <xdr:colOff>114300</xdr:colOff>
      <xdr:row>2577</xdr:row>
      <xdr:rowOff>28575</xdr:rowOff>
    </xdr:from>
    <xdr:to>
      <xdr:col>3</xdr:col>
      <xdr:colOff>1552575</xdr:colOff>
      <xdr:row>2577</xdr:row>
      <xdr:rowOff>1266825</xdr:rowOff>
    </xdr:to>
    <xdr:pic>
      <xdr:nvPicPr>
        <xdr:cNvPr id="1020" name="Имя " descr="Descr ">
          <a:extLst>
            <a:ext uri="{FF2B5EF4-FFF2-40B4-BE49-F238E27FC236}">
              <a16:creationId xmlns:a16="http://schemas.microsoft.com/office/drawing/2014/main" id="{00000000-0008-0000-0000-0000FC030000}"/>
            </a:ext>
          </a:extLst>
        </xdr:cNvPr>
        <xdr:cNvPicPr>
          <a:picLocks noChangeAspect="1"/>
        </xdr:cNvPicPr>
      </xdr:nvPicPr>
      <xdr:blipFill>
        <a:blip xmlns:r="http://schemas.openxmlformats.org/officeDocument/2006/relationships" r:embed="rId1019"/>
        <a:stretch>
          <a:fillRect/>
        </a:stretch>
      </xdr:blipFill>
      <xdr:spPr>
        <a:prstGeom prst="rect">
          <a:avLst/>
        </a:prstGeom>
        <a:ln w="9525">
          <a:solidFill>
            <a:srgbClr val="000000"/>
          </a:solidFill>
          <a:prstDash val="solid"/>
        </a:ln>
      </xdr:spPr>
    </xdr:pic>
    <xdr:clientData/>
  </xdr:twoCellAnchor>
  <xdr:twoCellAnchor>
    <xdr:from>
      <xdr:col>3</xdr:col>
      <xdr:colOff>114300</xdr:colOff>
      <xdr:row>2578</xdr:row>
      <xdr:rowOff>28575</xdr:rowOff>
    </xdr:from>
    <xdr:to>
      <xdr:col>3</xdr:col>
      <xdr:colOff>1552575</xdr:colOff>
      <xdr:row>2578</xdr:row>
      <xdr:rowOff>1266825</xdr:rowOff>
    </xdr:to>
    <xdr:pic>
      <xdr:nvPicPr>
        <xdr:cNvPr id="1021" name="Имя " descr="Descr ">
          <a:extLst>
            <a:ext uri="{FF2B5EF4-FFF2-40B4-BE49-F238E27FC236}">
              <a16:creationId xmlns:a16="http://schemas.microsoft.com/office/drawing/2014/main" id="{00000000-0008-0000-0000-0000FD030000}"/>
            </a:ext>
          </a:extLst>
        </xdr:cNvPr>
        <xdr:cNvPicPr>
          <a:picLocks noChangeAspect="1"/>
        </xdr:cNvPicPr>
      </xdr:nvPicPr>
      <xdr:blipFill>
        <a:blip xmlns:r="http://schemas.openxmlformats.org/officeDocument/2006/relationships" r:embed="rId1020"/>
        <a:stretch>
          <a:fillRect/>
        </a:stretch>
      </xdr:blipFill>
      <xdr:spPr>
        <a:prstGeom prst="rect">
          <a:avLst/>
        </a:prstGeom>
        <a:ln w="9525">
          <a:solidFill>
            <a:srgbClr val="000000"/>
          </a:solidFill>
          <a:prstDash val="solid"/>
        </a:ln>
      </xdr:spPr>
    </xdr:pic>
    <xdr:clientData/>
  </xdr:twoCellAnchor>
  <xdr:twoCellAnchor>
    <xdr:from>
      <xdr:col>3</xdr:col>
      <xdr:colOff>114300</xdr:colOff>
      <xdr:row>2579</xdr:row>
      <xdr:rowOff>28575</xdr:rowOff>
    </xdr:from>
    <xdr:to>
      <xdr:col>3</xdr:col>
      <xdr:colOff>1552575</xdr:colOff>
      <xdr:row>2579</xdr:row>
      <xdr:rowOff>1266825</xdr:rowOff>
    </xdr:to>
    <xdr:pic>
      <xdr:nvPicPr>
        <xdr:cNvPr id="1022" name="Имя " descr="Descr ">
          <a:extLst>
            <a:ext uri="{FF2B5EF4-FFF2-40B4-BE49-F238E27FC236}">
              <a16:creationId xmlns:a16="http://schemas.microsoft.com/office/drawing/2014/main" id="{00000000-0008-0000-0000-0000FE030000}"/>
            </a:ext>
          </a:extLst>
        </xdr:cNvPr>
        <xdr:cNvPicPr>
          <a:picLocks noChangeAspect="1"/>
        </xdr:cNvPicPr>
      </xdr:nvPicPr>
      <xdr:blipFill>
        <a:blip xmlns:r="http://schemas.openxmlformats.org/officeDocument/2006/relationships" r:embed="rId1021"/>
        <a:stretch>
          <a:fillRect/>
        </a:stretch>
      </xdr:blipFill>
      <xdr:spPr>
        <a:prstGeom prst="rect">
          <a:avLst/>
        </a:prstGeom>
        <a:ln w="9525">
          <a:solidFill>
            <a:srgbClr val="000000"/>
          </a:solidFill>
          <a:prstDash val="solid"/>
        </a:ln>
      </xdr:spPr>
    </xdr:pic>
    <xdr:clientData/>
  </xdr:twoCellAnchor>
  <xdr:twoCellAnchor>
    <xdr:from>
      <xdr:col>3</xdr:col>
      <xdr:colOff>114300</xdr:colOff>
      <xdr:row>2580</xdr:row>
      <xdr:rowOff>28575</xdr:rowOff>
    </xdr:from>
    <xdr:to>
      <xdr:col>3</xdr:col>
      <xdr:colOff>1552575</xdr:colOff>
      <xdr:row>2580</xdr:row>
      <xdr:rowOff>1266825</xdr:rowOff>
    </xdr:to>
    <xdr:pic>
      <xdr:nvPicPr>
        <xdr:cNvPr id="1023" name="Имя " descr="Descr ">
          <a:extLst>
            <a:ext uri="{FF2B5EF4-FFF2-40B4-BE49-F238E27FC236}">
              <a16:creationId xmlns:a16="http://schemas.microsoft.com/office/drawing/2014/main" id="{00000000-0008-0000-0000-0000FF030000}"/>
            </a:ext>
          </a:extLst>
        </xdr:cNvPr>
        <xdr:cNvPicPr>
          <a:picLocks noChangeAspect="1"/>
        </xdr:cNvPicPr>
      </xdr:nvPicPr>
      <xdr:blipFill>
        <a:blip xmlns:r="http://schemas.openxmlformats.org/officeDocument/2006/relationships" r:embed="rId1022"/>
        <a:stretch>
          <a:fillRect/>
        </a:stretch>
      </xdr:blipFill>
      <xdr:spPr>
        <a:prstGeom prst="rect">
          <a:avLst/>
        </a:prstGeom>
        <a:ln w="9525">
          <a:solidFill>
            <a:srgbClr val="000000"/>
          </a:solidFill>
          <a:prstDash val="solid"/>
        </a:ln>
      </xdr:spPr>
    </xdr:pic>
    <xdr:clientData/>
  </xdr:twoCellAnchor>
  <xdr:twoCellAnchor>
    <xdr:from>
      <xdr:col>3</xdr:col>
      <xdr:colOff>114300</xdr:colOff>
      <xdr:row>2581</xdr:row>
      <xdr:rowOff>28575</xdr:rowOff>
    </xdr:from>
    <xdr:to>
      <xdr:col>3</xdr:col>
      <xdr:colOff>1552575</xdr:colOff>
      <xdr:row>2581</xdr:row>
      <xdr:rowOff>1266825</xdr:rowOff>
    </xdr:to>
    <xdr:pic>
      <xdr:nvPicPr>
        <xdr:cNvPr id="1024" name="Имя " descr="Descr ">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1023"/>
        <a:stretch>
          <a:fillRect/>
        </a:stretch>
      </xdr:blipFill>
      <xdr:spPr>
        <a:prstGeom prst="rect">
          <a:avLst/>
        </a:prstGeom>
        <a:ln w="9525">
          <a:solidFill>
            <a:srgbClr val="000000"/>
          </a:solidFill>
          <a:prstDash val="solid"/>
        </a:ln>
      </xdr:spPr>
    </xdr:pic>
    <xdr:clientData/>
  </xdr:twoCellAnchor>
  <xdr:twoCellAnchor>
    <xdr:from>
      <xdr:col>3</xdr:col>
      <xdr:colOff>114300</xdr:colOff>
      <xdr:row>2582</xdr:row>
      <xdr:rowOff>28575</xdr:rowOff>
    </xdr:from>
    <xdr:to>
      <xdr:col>3</xdr:col>
      <xdr:colOff>1552575</xdr:colOff>
      <xdr:row>2582</xdr:row>
      <xdr:rowOff>1266825</xdr:rowOff>
    </xdr:to>
    <xdr:pic>
      <xdr:nvPicPr>
        <xdr:cNvPr id="1025" name="Имя " descr="Descr ">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1024"/>
        <a:stretch>
          <a:fillRect/>
        </a:stretch>
      </xdr:blipFill>
      <xdr:spPr>
        <a:prstGeom prst="rect">
          <a:avLst/>
        </a:prstGeom>
        <a:ln w="9525">
          <a:solidFill>
            <a:srgbClr val="000000"/>
          </a:solidFill>
          <a:prstDash val="solid"/>
        </a:ln>
      </xdr:spPr>
    </xdr:pic>
    <xdr:clientData/>
  </xdr:twoCellAnchor>
  <xdr:twoCellAnchor>
    <xdr:from>
      <xdr:col>3</xdr:col>
      <xdr:colOff>114300</xdr:colOff>
      <xdr:row>2583</xdr:row>
      <xdr:rowOff>28575</xdr:rowOff>
    </xdr:from>
    <xdr:to>
      <xdr:col>3</xdr:col>
      <xdr:colOff>1552575</xdr:colOff>
      <xdr:row>2583</xdr:row>
      <xdr:rowOff>1266825</xdr:rowOff>
    </xdr:to>
    <xdr:pic>
      <xdr:nvPicPr>
        <xdr:cNvPr id="1026" name="Имя " descr="Descr ">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1025"/>
        <a:stretch>
          <a:fillRect/>
        </a:stretch>
      </xdr:blipFill>
      <xdr:spPr>
        <a:prstGeom prst="rect">
          <a:avLst/>
        </a:prstGeom>
        <a:ln w="9525">
          <a:solidFill>
            <a:srgbClr val="000000"/>
          </a:solidFill>
          <a:prstDash val="solid"/>
        </a:ln>
      </xdr:spPr>
    </xdr:pic>
    <xdr:clientData/>
  </xdr:twoCellAnchor>
  <xdr:twoCellAnchor>
    <xdr:from>
      <xdr:col>3</xdr:col>
      <xdr:colOff>114300</xdr:colOff>
      <xdr:row>2584</xdr:row>
      <xdr:rowOff>28575</xdr:rowOff>
    </xdr:from>
    <xdr:to>
      <xdr:col>3</xdr:col>
      <xdr:colOff>1552575</xdr:colOff>
      <xdr:row>2584</xdr:row>
      <xdr:rowOff>1266825</xdr:rowOff>
    </xdr:to>
    <xdr:pic>
      <xdr:nvPicPr>
        <xdr:cNvPr id="1027" name="Имя " descr="Descr ">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1026"/>
        <a:stretch>
          <a:fillRect/>
        </a:stretch>
      </xdr:blipFill>
      <xdr:spPr>
        <a:prstGeom prst="rect">
          <a:avLst/>
        </a:prstGeom>
        <a:ln w="9525">
          <a:solidFill>
            <a:srgbClr val="000000"/>
          </a:solidFill>
          <a:prstDash val="solid"/>
        </a:ln>
      </xdr:spPr>
    </xdr:pic>
    <xdr:clientData/>
  </xdr:twoCellAnchor>
  <xdr:twoCellAnchor>
    <xdr:from>
      <xdr:col>3</xdr:col>
      <xdr:colOff>114300</xdr:colOff>
      <xdr:row>2585</xdr:row>
      <xdr:rowOff>28575</xdr:rowOff>
    </xdr:from>
    <xdr:to>
      <xdr:col>3</xdr:col>
      <xdr:colOff>1552575</xdr:colOff>
      <xdr:row>2585</xdr:row>
      <xdr:rowOff>1266825</xdr:rowOff>
    </xdr:to>
    <xdr:pic>
      <xdr:nvPicPr>
        <xdr:cNvPr id="1028" name="Имя " descr="Descr ">
          <a:extLs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1027"/>
        <a:stretch>
          <a:fillRect/>
        </a:stretch>
      </xdr:blipFill>
      <xdr:spPr>
        <a:prstGeom prst="rect">
          <a:avLst/>
        </a:prstGeom>
        <a:ln w="9525">
          <a:solidFill>
            <a:srgbClr val="000000"/>
          </a:solidFill>
          <a:prstDash val="solid"/>
        </a:ln>
      </xdr:spPr>
    </xdr:pic>
    <xdr:clientData/>
  </xdr:twoCellAnchor>
  <xdr:twoCellAnchor>
    <xdr:from>
      <xdr:col>3</xdr:col>
      <xdr:colOff>114300</xdr:colOff>
      <xdr:row>2586</xdr:row>
      <xdr:rowOff>28575</xdr:rowOff>
    </xdr:from>
    <xdr:to>
      <xdr:col>3</xdr:col>
      <xdr:colOff>1552575</xdr:colOff>
      <xdr:row>2586</xdr:row>
      <xdr:rowOff>1266825</xdr:rowOff>
    </xdr:to>
    <xdr:pic>
      <xdr:nvPicPr>
        <xdr:cNvPr id="1029" name="Имя " descr="Descr ">
          <a:extLs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1028"/>
        <a:stretch>
          <a:fillRect/>
        </a:stretch>
      </xdr:blipFill>
      <xdr:spPr>
        <a:prstGeom prst="rect">
          <a:avLst/>
        </a:prstGeom>
        <a:ln w="9525">
          <a:solidFill>
            <a:srgbClr val="000000"/>
          </a:solidFill>
          <a:prstDash val="solid"/>
        </a:ln>
      </xdr:spPr>
    </xdr:pic>
    <xdr:clientData/>
  </xdr:twoCellAnchor>
  <xdr:twoCellAnchor>
    <xdr:from>
      <xdr:col>3</xdr:col>
      <xdr:colOff>114300</xdr:colOff>
      <xdr:row>2587</xdr:row>
      <xdr:rowOff>28575</xdr:rowOff>
    </xdr:from>
    <xdr:to>
      <xdr:col>3</xdr:col>
      <xdr:colOff>1552575</xdr:colOff>
      <xdr:row>2587</xdr:row>
      <xdr:rowOff>1266825</xdr:rowOff>
    </xdr:to>
    <xdr:pic>
      <xdr:nvPicPr>
        <xdr:cNvPr id="1030" name="Имя " descr="Descr ">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1029"/>
        <a:stretch>
          <a:fillRect/>
        </a:stretch>
      </xdr:blipFill>
      <xdr:spPr>
        <a:prstGeom prst="rect">
          <a:avLst/>
        </a:prstGeom>
        <a:ln w="9525">
          <a:solidFill>
            <a:srgbClr val="000000"/>
          </a:solidFill>
          <a:prstDash val="solid"/>
        </a:ln>
      </xdr:spPr>
    </xdr:pic>
    <xdr:clientData/>
  </xdr:twoCellAnchor>
  <xdr:twoCellAnchor>
    <xdr:from>
      <xdr:col>3</xdr:col>
      <xdr:colOff>114300</xdr:colOff>
      <xdr:row>2588</xdr:row>
      <xdr:rowOff>28575</xdr:rowOff>
    </xdr:from>
    <xdr:to>
      <xdr:col>3</xdr:col>
      <xdr:colOff>1552575</xdr:colOff>
      <xdr:row>2588</xdr:row>
      <xdr:rowOff>1266825</xdr:rowOff>
    </xdr:to>
    <xdr:pic>
      <xdr:nvPicPr>
        <xdr:cNvPr id="1031" name="Имя " descr="Descr ">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1030"/>
        <a:stretch>
          <a:fillRect/>
        </a:stretch>
      </xdr:blipFill>
      <xdr:spPr>
        <a:prstGeom prst="rect">
          <a:avLst/>
        </a:prstGeom>
        <a:ln w="9525">
          <a:solidFill>
            <a:srgbClr val="000000"/>
          </a:solidFill>
          <a:prstDash val="solid"/>
        </a:ln>
      </xdr:spPr>
    </xdr:pic>
    <xdr:clientData/>
  </xdr:twoCellAnchor>
  <xdr:twoCellAnchor>
    <xdr:from>
      <xdr:col>3</xdr:col>
      <xdr:colOff>114300</xdr:colOff>
      <xdr:row>2589</xdr:row>
      <xdr:rowOff>28575</xdr:rowOff>
    </xdr:from>
    <xdr:to>
      <xdr:col>3</xdr:col>
      <xdr:colOff>1552575</xdr:colOff>
      <xdr:row>2589</xdr:row>
      <xdr:rowOff>1266825</xdr:rowOff>
    </xdr:to>
    <xdr:pic>
      <xdr:nvPicPr>
        <xdr:cNvPr id="1032" name="Имя " descr="Descr ">
          <a:extLst>
            <a:ext uri="{FF2B5EF4-FFF2-40B4-BE49-F238E27FC236}">
              <a16:creationId xmlns:a16="http://schemas.microsoft.com/office/drawing/2014/main" id="{00000000-0008-0000-0000-000008040000}"/>
            </a:ext>
          </a:extLst>
        </xdr:cNvPr>
        <xdr:cNvPicPr>
          <a:picLocks noChangeAspect="1"/>
        </xdr:cNvPicPr>
      </xdr:nvPicPr>
      <xdr:blipFill>
        <a:blip xmlns:r="http://schemas.openxmlformats.org/officeDocument/2006/relationships" r:embed="rId1031"/>
        <a:stretch>
          <a:fillRect/>
        </a:stretch>
      </xdr:blipFill>
      <xdr:spPr>
        <a:prstGeom prst="rect">
          <a:avLst/>
        </a:prstGeom>
        <a:ln w="9525">
          <a:solidFill>
            <a:srgbClr val="000000"/>
          </a:solidFill>
          <a:prstDash val="solid"/>
        </a:ln>
      </xdr:spPr>
    </xdr:pic>
    <xdr:clientData/>
  </xdr:twoCellAnchor>
  <xdr:twoCellAnchor>
    <xdr:from>
      <xdr:col>3</xdr:col>
      <xdr:colOff>114300</xdr:colOff>
      <xdr:row>2590</xdr:row>
      <xdr:rowOff>28575</xdr:rowOff>
    </xdr:from>
    <xdr:to>
      <xdr:col>3</xdr:col>
      <xdr:colOff>1552575</xdr:colOff>
      <xdr:row>2590</xdr:row>
      <xdr:rowOff>1266825</xdr:rowOff>
    </xdr:to>
    <xdr:pic>
      <xdr:nvPicPr>
        <xdr:cNvPr id="1033" name="Имя " descr="Descr ">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1032"/>
        <a:stretch>
          <a:fillRect/>
        </a:stretch>
      </xdr:blipFill>
      <xdr:spPr>
        <a:prstGeom prst="rect">
          <a:avLst/>
        </a:prstGeom>
        <a:ln w="9525">
          <a:solidFill>
            <a:srgbClr val="000000"/>
          </a:solidFill>
          <a:prstDash val="solid"/>
        </a:ln>
      </xdr:spPr>
    </xdr:pic>
    <xdr:clientData/>
  </xdr:twoCellAnchor>
  <xdr:twoCellAnchor>
    <xdr:from>
      <xdr:col>3</xdr:col>
      <xdr:colOff>114300</xdr:colOff>
      <xdr:row>2591</xdr:row>
      <xdr:rowOff>28575</xdr:rowOff>
    </xdr:from>
    <xdr:to>
      <xdr:col>3</xdr:col>
      <xdr:colOff>1552575</xdr:colOff>
      <xdr:row>2591</xdr:row>
      <xdr:rowOff>1266825</xdr:rowOff>
    </xdr:to>
    <xdr:pic>
      <xdr:nvPicPr>
        <xdr:cNvPr id="1034" name="Имя " descr="Descr ">
          <a:extLst>
            <a:ext uri="{FF2B5EF4-FFF2-40B4-BE49-F238E27FC236}">
              <a16:creationId xmlns:a16="http://schemas.microsoft.com/office/drawing/2014/main" id="{00000000-0008-0000-0000-00000A040000}"/>
            </a:ext>
          </a:extLst>
        </xdr:cNvPr>
        <xdr:cNvPicPr>
          <a:picLocks noChangeAspect="1"/>
        </xdr:cNvPicPr>
      </xdr:nvPicPr>
      <xdr:blipFill>
        <a:blip xmlns:r="http://schemas.openxmlformats.org/officeDocument/2006/relationships" r:embed="rId1033"/>
        <a:stretch>
          <a:fillRect/>
        </a:stretch>
      </xdr:blipFill>
      <xdr:spPr>
        <a:prstGeom prst="rect">
          <a:avLst/>
        </a:prstGeom>
        <a:ln w="9525">
          <a:solidFill>
            <a:srgbClr val="000000"/>
          </a:solidFill>
          <a:prstDash val="solid"/>
        </a:ln>
      </xdr:spPr>
    </xdr:pic>
    <xdr:clientData/>
  </xdr:twoCellAnchor>
  <xdr:twoCellAnchor>
    <xdr:from>
      <xdr:col>3</xdr:col>
      <xdr:colOff>114300</xdr:colOff>
      <xdr:row>2592</xdr:row>
      <xdr:rowOff>28575</xdr:rowOff>
    </xdr:from>
    <xdr:to>
      <xdr:col>3</xdr:col>
      <xdr:colOff>1552575</xdr:colOff>
      <xdr:row>2592</xdr:row>
      <xdr:rowOff>1266825</xdr:rowOff>
    </xdr:to>
    <xdr:pic>
      <xdr:nvPicPr>
        <xdr:cNvPr id="1035" name="Имя " descr="Descr ">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1034"/>
        <a:stretch>
          <a:fillRect/>
        </a:stretch>
      </xdr:blipFill>
      <xdr:spPr>
        <a:prstGeom prst="rect">
          <a:avLst/>
        </a:prstGeom>
        <a:ln w="9525">
          <a:solidFill>
            <a:srgbClr val="000000"/>
          </a:solidFill>
          <a:prstDash val="solid"/>
        </a:ln>
      </xdr:spPr>
    </xdr:pic>
    <xdr:clientData/>
  </xdr:twoCellAnchor>
  <xdr:twoCellAnchor>
    <xdr:from>
      <xdr:col>3</xdr:col>
      <xdr:colOff>114300</xdr:colOff>
      <xdr:row>2593</xdr:row>
      <xdr:rowOff>28575</xdr:rowOff>
    </xdr:from>
    <xdr:to>
      <xdr:col>3</xdr:col>
      <xdr:colOff>1552575</xdr:colOff>
      <xdr:row>2593</xdr:row>
      <xdr:rowOff>1266825</xdr:rowOff>
    </xdr:to>
    <xdr:pic>
      <xdr:nvPicPr>
        <xdr:cNvPr id="1036" name="Имя " descr="Descr ">
          <a:extLst>
            <a:ext uri="{FF2B5EF4-FFF2-40B4-BE49-F238E27FC236}">
              <a16:creationId xmlns:a16="http://schemas.microsoft.com/office/drawing/2014/main" id="{00000000-0008-0000-0000-00000C040000}"/>
            </a:ext>
          </a:extLst>
        </xdr:cNvPr>
        <xdr:cNvPicPr>
          <a:picLocks noChangeAspect="1"/>
        </xdr:cNvPicPr>
      </xdr:nvPicPr>
      <xdr:blipFill>
        <a:blip xmlns:r="http://schemas.openxmlformats.org/officeDocument/2006/relationships" r:embed="rId1035"/>
        <a:stretch>
          <a:fillRect/>
        </a:stretch>
      </xdr:blipFill>
      <xdr:spPr>
        <a:prstGeom prst="rect">
          <a:avLst/>
        </a:prstGeom>
        <a:ln w="9525">
          <a:solidFill>
            <a:srgbClr val="000000"/>
          </a:solidFill>
          <a:prstDash val="solid"/>
        </a:ln>
      </xdr:spPr>
    </xdr:pic>
    <xdr:clientData/>
  </xdr:twoCellAnchor>
  <xdr:twoCellAnchor>
    <xdr:from>
      <xdr:col>3</xdr:col>
      <xdr:colOff>114300</xdr:colOff>
      <xdr:row>2594</xdr:row>
      <xdr:rowOff>28575</xdr:rowOff>
    </xdr:from>
    <xdr:to>
      <xdr:col>3</xdr:col>
      <xdr:colOff>1552575</xdr:colOff>
      <xdr:row>2594</xdr:row>
      <xdr:rowOff>1266825</xdr:rowOff>
    </xdr:to>
    <xdr:pic>
      <xdr:nvPicPr>
        <xdr:cNvPr id="1037" name="Имя " descr="Descr ">
          <a:extLst>
            <a:ext uri="{FF2B5EF4-FFF2-40B4-BE49-F238E27FC236}">
              <a16:creationId xmlns:a16="http://schemas.microsoft.com/office/drawing/2014/main" id="{00000000-0008-0000-0000-00000D040000}"/>
            </a:ext>
          </a:extLst>
        </xdr:cNvPr>
        <xdr:cNvPicPr>
          <a:picLocks noChangeAspect="1"/>
        </xdr:cNvPicPr>
      </xdr:nvPicPr>
      <xdr:blipFill>
        <a:blip xmlns:r="http://schemas.openxmlformats.org/officeDocument/2006/relationships" r:embed="rId1036"/>
        <a:stretch>
          <a:fillRect/>
        </a:stretch>
      </xdr:blipFill>
      <xdr:spPr>
        <a:prstGeom prst="rect">
          <a:avLst/>
        </a:prstGeom>
        <a:ln w="9525">
          <a:solidFill>
            <a:srgbClr val="000000"/>
          </a:solidFill>
          <a:prstDash val="solid"/>
        </a:ln>
      </xdr:spPr>
    </xdr:pic>
    <xdr:clientData/>
  </xdr:twoCellAnchor>
  <xdr:twoCellAnchor>
    <xdr:from>
      <xdr:col>3</xdr:col>
      <xdr:colOff>114300</xdr:colOff>
      <xdr:row>2595</xdr:row>
      <xdr:rowOff>28575</xdr:rowOff>
    </xdr:from>
    <xdr:to>
      <xdr:col>3</xdr:col>
      <xdr:colOff>1552575</xdr:colOff>
      <xdr:row>2595</xdr:row>
      <xdr:rowOff>1266825</xdr:rowOff>
    </xdr:to>
    <xdr:pic>
      <xdr:nvPicPr>
        <xdr:cNvPr id="1038" name="Имя " descr="Descr ">
          <a:extLst>
            <a:ext uri="{FF2B5EF4-FFF2-40B4-BE49-F238E27FC236}">
              <a16:creationId xmlns:a16="http://schemas.microsoft.com/office/drawing/2014/main" id="{00000000-0008-0000-0000-00000E040000}"/>
            </a:ext>
          </a:extLst>
        </xdr:cNvPr>
        <xdr:cNvPicPr>
          <a:picLocks noChangeAspect="1"/>
        </xdr:cNvPicPr>
      </xdr:nvPicPr>
      <xdr:blipFill>
        <a:blip xmlns:r="http://schemas.openxmlformats.org/officeDocument/2006/relationships" r:embed="rId1037"/>
        <a:stretch>
          <a:fillRect/>
        </a:stretch>
      </xdr:blipFill>
      <xdr:spPr>
        <a:prstGeom prst="rect">
          <a:avLst/>
        </a:prstGeom>
        <a:ln w="9525">
          <a:solidFill>
            <a:srgbClr val="000000"/>
          </a:solidFill>
          <a:prstDash val="solid"/>
        </a:ln>
      </xdr:spPr>
    </xdr:pic>
    <xdr:clientData/>
  </xdr:twoCellAnchor>
  <xdr:twoCellAnchor>
    <xdr:from>
      <xdr:col>3</xdr:col>
      <xdr:colOff>114300</xdr:colOff>
      <xdr:row>2596</xdr:row>
      <xdr:rowOff>28575</xdr:rowOff>
    </xdr:from>
    <xdr:to>
      <xdr:col>3</xdr:col>
      <xdr:colOff>1552575</xdr:colOff>
      <xdr:row>2596</xdr:row>
      <xdr:rowOff>1266825</xdr:rowOff>
    </xdr:to>
    <xdr:pic>
      <xdr:nvPicPr>
        <xdr:cNvPr id="1039" name="Имя " descr="Descr ">
          <a:extLst>
            <a:ext uri="{FF2B5EF4-FFF2-40B4-BE49-F238E27FC236}">
              <a16:creationId xmlns:a16="http://schemas.microsoft.com/office/drawing/2014/main" id="{00000000-0008-0000-0000-00000F040000}"/>
            </a:ext>
          </a:extLst>
        </xdr:cNvPr>
        <xdr:cNvPicPr>
          <a:picLocks noChangeAspect="1"/>
        </xdr:cNvPicPr>
      </xdr:nvPicPr>
      <xdr:blipFill>
        <a:blip xmlns:r="http://schemas.openxmlformats.org/officeDocument/2006/relationships" r:embed="rId1038"/>
        <a:stretch>
          <a:fillRect/>
        </a:stretch>
      </xdr:blipFill>
      <xdr:spPr>
        <a:prstGeom prst="rect">
          <a:avLst/>
        </a:prstGeom>
        <a:ln w="9525">
          <a:solidFill>
            <a:srgbClr val="000000"/>
          </a:solidFill>
          <a:prstDash val="solid"/>
        </a:ln>
      </xdr:spPr>
    </xdr:pic>
    <xdr:clientData/>
  </xdr:twoCellAnchor>
  <xdr:twoCellAnchor>
    <xdr:from>
      <xdr:col>3</xdr:col>
      <xdr:colOff>114300</xdr:colOff>
      <xdr:row>2597</xdr:row>
      <xdr:rowOff>28575</xdr:rowOff>
    </xdr:from>
    <xdr:to>
      <xdr:col>3</xdr:col>
      <xdr:colOff>1552575</xdr:colOff>
      <xdr:row>2597</xdr:row>
      <xdr:rowOff>1266825</xdr:rowOff>
    </xdr:to>
    <xdr:pic>
      <xdr:nvPicPr>
        <xdr:cNvPr id="1040" name="Имя " descr="Descr ">
          <a:extLst>
            <a:ext uri="{FF2B5EF4-FFF2-40B4-BE49-F238E27FC236}">
              <a16:creationId xmlns:a16="http://schemas.microsoft.com/office/drawing/2014/main" id="{00000000-0008-0000-0000-000010040000}"/>
            </a:ext>
          </a:extLst>
        </xdr:cNvPr>
        <xdr:cNvPicPr>
          <a:picLocks noChangeAspect="1"/>
        </xdr:cNvPicPr>
      </xdr:nvPicPr>
      <xdr:blipFill>
        <a:blip xmlns:r="http://schemas.openxmlformats.org/officeDocument/2006/relationships" r:embed="rId1039"/>
        <a:stretch>
          <a:fillRect/>
        </a:stretch>
      </xdr:blipFill>
      <xdr:spPr>
        <a:prstGeom prst="rect">
          <a:avLst/>
        </a:prstGeom>
        <a:ln w="9525">
          <a:solidFill>
            <a:srgbClr val="000000"/>
          </a:solidFill>
          <a:prstDash val="solid"/>
        </a:ln>
      </xdr:spPr>
    </xdr:pic>
    <xdr:clientData/>
  </xdr:twoCellAnchor>
  <xdr:twoCellAnchor>
    <xdr:from>
      <xdr:col>3</xdr:col>
      <xdr:colOff>114300</xdr:colOff>
      <xdr:row>2598</xdr:row>
      <xdr:rowOff>28575</xdr:rowOff>
    </xdr:from>
    <xdr:to>
      <xdr:col>3</xdr:col>
      <xdr:colOff>1552575</xdr:colOff>
      <xdr:row>2598</xdr:row>
      <xdr:rowOff>1266825</xdr:rowOff>
    </xdr:to>
    <xdr:pic>
      <xdr:nvPicPr>
        <xdr:cNvPr id="1041" name="Имя " descr="Descr ">
          <a:extLst>
            <a:ext uri="{FF2B5EF4-FFF2-40B4-BE49-F238E27FC236}">
              <a16:creationId xmlns:a16="http://schemas.microsoft.com/office/drawing/2014/main" id="{00000000-0008-0000-0000-000011040000}"/>
            </a:ext>
          </a:extLst>
        </xdr:cNvPr>
        <xdr:cNvPicPr>
          <a:picLocks noChangeAspect="1"/>
        </xdr:cNvPicPr>
      </xdr:nvPicPr>
      <xdr:blipFill>
        <a:blip xmlns:r="http://schemas.openxmlformats.org/officeDocument/2006/relationships" r:embed="rId1040"/>
        <a:stretch>
          <a:fillRect/>
        </a:stretch>
      </xdr:blipFill>
      <xdr:spPr>
        <a:prstGeom prst="rect">
          <a:avLst/>
        </a:prstGeom>
        <a:ln w="9525">
          <a:solidFill>
            <a:srgbClr val="000000"/>
          </a:solidFill>
          <a:prstDash val="solid"/>
        </a:ln>
      </xdr:spPr>
    </xdr:pic>
    <xdr:clientData/>
  </xdr:twoCellAnchor>
  <xdr:twoCellAnchor>
    <xdr:from>
      <xdr:col>3</xdr:col>
      <xdr:colOff>114300</xdr:colOff>
      <xdr:row>2599</xdr:row>
      <xdr:rowOff>28575</xdr:rowOff>
    </xdr:from>
    <xdr:to>
      <xdr:col>3</xdr:col>
      <xdr:colOff>1552575</xdr:colOff>
      <xdr:row>2599</xdr:row>
      <xdr:rowOff>1266825</xdr:rowOff>
    </xdr:to>
    <xdr:pic>
      <xdr:nvPicPr>
        <xdr:cNvPr id="1042" name="Имя " descr="Descr ">
          <a:extLst>
            <a:ext uri="{FF2B5EF4-FFF2-40B4-BE49-F238E27FC236}">
              <a16:creationId xmlns:a16="http://schemas.microsoft.com/office/drawing/2014/main" id="{00000000-0008-0000-0000-000012040000}"/>
            </a:ext>
          </a:extLst>
        </xdr:cNvPr>
        <xdr:cNvPicPr>
          <a:picLocks noChangeAspect="1"/>
        </xdr:cNvPicPr>
      </xdr:nvPicPr>
      <xdr:blipFill>
        <a:blip xmlns:r="http://schemas.openxmlformats.org/officeDocument/2006/relationships" r:embed="rId1041"/>
        <a:stretch>
          <a:fillRect/>
        </a:stretch>
      </xdr:blipFill>
      <xdr:spPr>
        <a:prstGeom prst="rect">
          <a:avLst/>
        </a:prstGeom>
        <a:ln w="9525">
          <a:solidFill>
            <a:srgbClr val="000000"/>
          </a:solidFill>
          <a:prstDash val="solid"/>
        </a:ln>
      </xdr:spPr>
    </xdr:pic>
    <xdr:clientData/>
  </xdr:twoCellAnchor>
  <xdr:twoCellAnchor>
    <xdr:from>
      <xdr:col>3</xdr:col>
      <xdr:colOff>114300</xdr:colOff>
      <xdr:row>2600</xdr:row>
      <xdr:rowOff>28575</xdr:rowOff>
    </xdr:from>
    <xdr:to>
      <xdr:col>3</xdr:col>
      <xdr:colOff>1552575</xdr:colOff>
      <xdr:row>2600</xdr:row>
      <xdr:rowOff>1266825</xdr:rowOff>
    </xdr:to>
    <xdr:pic>
      <xdr:nvPicPr>
        <xdr:cNvPr id="1043" name="Имя " descr="Descr ">
          <a:extLst>
            <a:ext uri="{FF2B5EF4-FFF2-40B4-BE49-F238E27FC236}">
              <a16:creationId xmlns:a16="http://schemas.microsoft.com/office/drawing/2014/main" id="{00000000-0008-0000-0000-000013040000}"/>
            </a:ext>
          </a:extLst>
        </xdr:cNvPr>
        <xdr:cNvPicPr>
          <a:picLocks noChangeAspect="1"/>
        </xdr:cNvPicPr>
      </xdr:nvPicPr>
      <xdr:blipFill>
        <a:blip xmlns:r="http://schemas.openxmlformats.org/officeDocument/2006/relationships" r:embed="rId1042"/>
        <a:stretch>
          <a:fillRect/>
        </a:stretch>
      </xdr:blipFill>
      <xdr:spPr>
        <a:prstGeom prst="rect">
          <a:avLst/>
        </a:prstGeom>
        <a:ln w="9525">
          <a:solidFill>
            <a:srgbClr val="000000"/>
          </a:solidFill>
          <a:prstDash val="solid"/>
        </a:ln>
      </xdr:spPr>
    </xdr:pic>
    <xdr:clientData/>
  </xdr:twoCellAnchor>
  <xdr:twoCellAnchor>
    <xdr:from>
      <xdr:col>3</xdr:col>
      <xdr:colOff>114300</xdr:colOff>
      <xdr:row>2601</xdr:row>
      <xdr:rowOff>38100</xdr:rowOff>
    </xdr:from>
    <xdr:to>
      <xdr:col>3</xdr:col>
      <xdr:colOff>1552575</xdr:colOff>
      <xdr:row>2602</xdr:row>
      <xdr:rowOff>638175</xdr:rowOff>
    </xdr:to>
    <xdr:pic>
      <xdr:nvPicPr>
        <xdr:cNvPr id="1044" name="Имя " descr="Descr ">
          <a:extLst>
            <a:ext uri="{FF2B5EF4-FFF2-40B4-BE49-F238E27FC236}">
              <a16:creationId xmlns:a16="http://schemas.microsoft.com/office/drawing/2014/main" id="{00000000-0008-0000-0000-000014040000}"/>
            </a:ext>
          </a:extLst>
        </xdr:cNvPr>
        <xdr:cNvPicPr>
          <a:picLocks noChangeAspect="1"/>
        </xdr:cNvPicPr>
      </xdr:nvPicPr>
      <xdr:blipFill>
        <a:blip xmlns:r="http://schemas.openxmlformats.org/officeDocument/2006/relationships" r:embed="rId1043"/>
        <a:stretch>
          <a:fillRect/>
        </a:stretch>
      </xdr:blipFill>
      <xdr:spPr>
        <a:prstGeom prst="rect">
          <a:avLst/>
        </a:prstGeom>
        <a:ln w="9525">
          <a:solidFill>
            <a:srgbClr val="000000"/>
          </a:solidFill>
          <a:prstDash val="solid"/>
        </a:ln>
      </xdr:spPr>
    </xdr:pic>
    <xdr:clientData/>
  </xdr:twoCellAnchor>
  <xdr:twoCellAnchor>
    <xdr:from>
      <xdr:col>3</xdr:col>
      <xdr:colOff>114300</xdr:colOff>
      <xdr:row>2603</xdr:row>
      <xdr:rowOff>28575</xdr:rowOff>
    </xdr:from>
    <xdr:to>
      <xdr:col>3</xdr:col>
      <xdr:colOff>1552575</xdr:colOff>
      <xdr:row>2603</xdr:row>
      <xdr:rowOff>1266825</xdr:rowOff>
    </xdr:to>
    <xdr:pic>
      <xdr:nvPicPr>
        <xdr:cNvPr id="1045" name="Имя " descr="Descr ">
          <a:extLst>
            <a:ext uri="{FF2B5EF4-FFF2-40B4-BE49-F238E27FC236}">
              <a16:creationId xmlns:a16="http://schemas.microsoft.com/office/drawing/2014/main" id="{00000000-0008-0000-0000-000015040000}"/>
            </a:ext>
          </a:extLst>
        </xdr:cNvPr>
        <xdr:cNvPicPr>
          <a:picLocks noChangeAspect="1"/>
        </xdr:cNvPicPr>
      </xdr:nvPicPr>
      <xdr:blipFill>
        <a:blip xmlns:r="http://schemas.openxmlformats.org/officeDocument/2006/relationships" r:embed="rId1044"/>
        <a:stretch>
          <a:fillRect/>
        </a:stretch>
      </xdr:blipFill>
      <xdr:spPr>
        <a:prstGeom prst="rect">
          <a:avLst/>
        </a:prstGeom>
        <a:ln w="9525">
          <a:solidFill>
            <a:srgbClr val="000000"/>
          </a:solidFill>
          <a:prstDash val="solid"/>
        </a:ln>
      </xdr:spPr>
    </xdr:pic>
    <xdr:clientData/>
  </xdr:twoCellAnchor>
  <xdr:twoCellAnchor>
    <xdr:from>
      <xdr:col>3</xdr:col>
      <xdr:colOff>114300</xdr:colOff>
      <xdr:row>2604</xdr:row>
      <xdr:rowOff>28575</xdr:rowOff>
    </xdr:from>
    <xdr:to>
      <xdr:col>3</xdr:col>
      <xdr:colOff>1552575</xdr:colOff>
      <xdr:row>2604</xdr:row>
      <xdr:rowOff>1266825</xdr:rowOff>
    </xdr:to>
    <xdr:pic>
      <xdr:nvPicPr>
        <xdr:cNvPr id="1046" name="Имя " descr="Descr ">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1045"/>
        <a:stretch>
          <a:fillRect/>
        </a:stretch>
      </xdr:blipFill>
      <xdr:spPr>
        <a:prstGeom prst="rect">
          <a:avLst/>
        </a:prstGeom>
        <a:ln w="9525">
          <a:solidFill>
            <a:srgbClr val="000000"/>
          </a:solidFill>
          <a:prstDash val="solid"/>
        </a:ln>
      </xdr:spPr>
    </xdr:pic>
    <xdr:clientData/>
  </xdr:twoCellAnchor>
  <xdr:twoCellAnchor>
    <xdr:from>
      <xdr:col>3</xdr:col>
      <xdr:colOff>114300</xdr:colOff>
      <xdr:row>2605</xdr:row>
      <xdr:rowOff>28575</xdr:rowOff>
    </xdr:from>
    <xdr:to>
      <xdr:col>3</xdr:col>
      <xdr:colOff>1552575</xdr:colOff>
      <xdr:row>2605</xdr:row>
      <xdr:rowOff>1266825</xdr:rowOff>
    </xdr:to>
    <xdr:pic>
      <xdr:nvPicPr>
        <xdr:cNvPr id="1047" name="Имя " descr="Descr ">
          <a:extLst>
            <a:ext uri="{FF2B5EF4-FFF2-40B4-BE49-F238E27FC236}">
              <a16:creationId xmlns:a16="http://schemas.microsoft.com/office/drawing/2014/main" id="{00000000-0008-0000-0000-000017040000}"/>
            </a:ext>
          </a:extLst>
        </xdr:cNvPr>
        <xdr:cNvPicPr>
          <a:picLocks noChangeAspect="1"/>
        </xdr:cNvPicPr>
      </xdr:nvPicPr>
      <xdr:blipFill>
        <a:blip xmlns:r="http://schemas.openxmlformats.org/officeDocument/2006/relationships" r:embed="rId1046"/>
        <a:stretch>
          <a:fillRect/>
        </a:stretch>
      </xdr:blipFill>
      <xdr:spPr>
        <a:prstGeom prst="rect">
          <a:avLst/>
        </a:prstGeom>
        <a:ln w="9525">
          <a:solidFill>
            <a:srgbClr val="000000"/>
          </a:solidFill>
          <a:prstDash val="solid"/>
        </a:ln>
      </xdr:spPr>
    </xdr:pic>
    <xdr:clientData/>
  </xdr:twoCellAnchor>
  <xdr:twoCellAnchor>
    <xdr:from>
      <xdr:col>3</xdr:col>
      <xdr:colOff>114300</xdr:colOff>
      <xdr:row>2606</xdr:row>
      <xdr:rowOff>28575</xdr:rowOff>
    </xdr:from>
    <xdr:to>
      <xdr:col>3</xdr:col>
      <xdr:colOff>1552575</xdr:colOff>
      <xdr:row>2608</xdr:row>
      <xdr:rowOff>419100</xdr:rowOff>
    </xdr:to>
    <xdr:pic>
      <xdr:nvPicPr>
        <xdr:cNvPr id="1048" name="Имя " descr="Descr ">
          <a:extLst>
            <a:ext uri="{FF2B5EF4-FFF2-40B4-BE49-F238E27FC236}">
              <a16:creationId xmlns:a16="http://schemas.microsoft.com/office/drawing/2014/main" id="{00000000-0008-0000-0000-000018040000}"/>
            </a:ext>
          </a:extLst>
        </xdr:cNvPr>
        <xdr:cNvPicPr>
          <a:picLocks noChangeAspect="1"/>
        </xdr:cNvPicPr>
      </xdr:nvPicPr>
      <xdr:blipFill>
        <a:blip xmlns:r="http://schemas.openxmlformats.org/officeDocument/2006/relationships" r:embed="rId1047"/>
        <a:stretch>
          <a:fillRect/>
        </a:stretch>
      </xdr:blipFill>
      <xdr:spPr>
        <a:prstGeom prst="rect">
          <a:avLst/>
        </a:prstGeom>
        <a:ln w="9525">
          <a:solidFill>
            <a:srgbClr val="000000"/>
          </a:solidFill>
          <a:prstDash val="solid"/>
        </a:ln>
      </xdr:spPr>
    </xdr:pic>
    <xdr:clientData/>
  </xdr:twoCellAnchor>
  <xdr:twoCellAnchor>
    <xdr:from>
      <xdr:col>3</xdr:col>
      <xdr:colOff>114300</xdr:colOff>
      <xdr:row>2609</xdr:row>
      <xdr:rowOff>28575</xdr:rowOff>
    </xdr:from>
    <xdr:to>
      <xdr:col>3</xdr:col>
      <xdr:colOff>1552575</xdr:colOff>
      <xdr:row>2611</xdr:row>
      <xdr:rowOff>419100</xdr:rowOff>
    </xdr:to>
    <xdr:pic>
      <xdr:nvPicPr>
        <xdr:cNvPr id="1049" name="Имя " descr="Descr ">
          <a:extLst>
            <a:ext uri="{FF2B5EF4-FFF2-40B4-BE49-F238E27FC236}">
              <a16:creationId xmlns:a16="http://schemas.microsoft.com/office/drawing/2014/main" id="{00000000-0008-0000-0000-000019040000}"/>
            </a:ext>
          </a:extLst>
        </xdr:cNvPr>
        <xdr:cNvPicPr>
          <a:picLocks noChangeAspect="1"/>
        </xdr:cNvPicPr>
      </xdr:nvPicPr>
      <xdr:blipFill>
        <a:blip xmlns:r="http://schemas.openxmlformats.org/officeDocument/2006/relationships" r:embed="rId1048"/>
        <a:stretch>
          <a:fillRect/>
        </a:stretch>
      </xdr:blipFill>
      <xdr:spPr>
        <a:prstGeom prst="rect">
          <a:avLst/>
        </a:prstGeom>
        <a:ln w="9525">
          <a:solidFill>
            <a:srgbClr val="000000"/>
          </a:solidFill>
          <a:prstDash val="solid"/>
        </a:ln>
      </xdr:spPr>
    </xdr:pic>
    <xdr:clientData/>
  </xdr:twoCellAnchor>
  <xdr:twoCellAnchor>
    <xdr:from>
      <xdr:col>3</xdr:col>
      <xdr:colOff>114300</xdr:colOff>
      <xdr:row>2612</xdr:row>
      <xdr:rowOff>28575</xdr:rowOff>
    </xdr:from>
    <xdr:to>
      <xdr:col>3</xdr:col>
      <xdr:colOff>1552575</xdr:colOff>
      <xdr:row>2612</xdr:row>
      <xdr:rowOff>1266825</xdr:rowOff>
    </xdr:to>
    <xdr:pic>
      <xdr:nvPicPr>
        <xdr:cNvPr id="1050" name="Имя " descr="Descr ">
          <a:extLst>
            <a:ext uri="{FF2B5EF4-FFF2-40B4-BE49-F238E27FC236}">
              <a16:creationId xmlns:a16="http://schemas.microsoft.com/office/drawing/2014/main" id="{00000000-0008-0000-0000-00001A040000}"/>
            </a:ext>
          </a:extLst>
        </xdr:cNvPr>
        <xdr:cNvPicPr>
          <a:picLocks noChangeAspect="1"/>
        </xdr:cNvPicPr>
      </xdr:nvPicPr>
      <xdr:blipFill>
        <a:blip xmlns:r="http://schemas.openxmlformats.org/officeDocument/2006/relationships" r:embed="rId1049"/>
        <a:stretch>
          <a:fillRect/>
        </a:stretch>
      </xdr:blipFill>
      <xdr:spPr>
        <a:prstGeom prst="rect">
          <a:avLst/>
        </a:prstGeom>
        <a:ln w="9525">
          <a:solidFill>
            <a:srgbClr val="000000"/>
          </a:solidFill>
          <a:prstDash val="solid"/>
        </a:ln>
      </xdr:spPr>
    </xdr:pic>
    <xdr:clientData/>
  </xdr:twoCellAnchor>
  <xdr:twoCellAnchor>
    <xdr:from>
      <xdr:col>3</xdr:col>
      <xdr:colOff>114300</xdr:colOff>
      <xdr:row>2613</xdr:row>
      <xdr:rowOff>28575</xdr:rowOff>
    </xdr:from>
    <xdr:to>
      <xdr:col>3</xdr:col>
      <xdr:colOff>1552575</xdr:colOff>
      <xdr:row>2613</xdr:row>
      <xdr:rowOff>1266825</xdr:rowOff>
    </xdr:to>
    <xdr:pic>
      <xdr:nvPicPr>
        <xdr:cNvPr id="1051" name="Имя " descr="Descr ">
          <a:extLst>
            <a:ext uri="{FF2B5EF4-FFF2-40B4-BE49-F238E27FC236}">
              <a16:creationId xmlns:a16="http://schemas.microsoft.com/office/drawing/2014/main" id="{00000000-0008-0000-0000-00001B040000}"/>
            </a:ext>
          </a:extLst>
        </xdr:cNvPr>
        <xdr:cNvPicPr>
          <a:picLocks noChangeAspect="1"/>
        </xdr:cNvPicPr>
      </xdr:nvPicPr>
      <xdr:blipFill>
        <a:blip xmlns:r="http://schemas.openxmlformats.org/officeDocument/2006/relationships" r:embed="rId1050"/>
        <a:stretch>
          <a:fillRect/>
        </a:stretch>
      </xdr:blipFill>
      <xdr:spPr>
        <a:prstGeom prst="rect">
          <a:avLst/>
        </a:prstGeom>
        <a:ln w="9525">
          <a:solidFill>
            <a:srgbClr val="000000"/>
          </a:solidFill>
          <a:prstDash val="solid"/>
        </a:ln>
      </xdr:spPr>
    </xdr:pic>
    <xdr:clientData/>
  </xdr:twoCellAnchor>
  <xdr:twoCellAnchor>
    <xdr:from>
      <xdr:col>3</xdr:col>
      <xdr:colOff>114300</xdr:colOff>
      <xdr:row>2614</xdr:row>
      <xdr:rowOff>28575</xdr:rowOff>
    </xdr:from>
    <xdr:to>
      <xdr:col>3</xdr:col>
      <xdr:colOff>1552575</xdr:colOff>
      <xdr:row>2614</xdr:row>
      <xdr:rowOff>1266825</xdr:rowOff>
    </xdr:to>
    <xdr:pic>
      <xdr:nvPicPr>
        <xdr:cNvPr id="1052" name="Имя " descr="Descr ">
          <a:extLst>
            <a:ext uri="{FF2B5EF4-FFF2-40B4-BE49-F238E27FC236}">
              <a16:creationId xmlns:a16="http://schemas.microsoft.com/office/drawing/2014/main" id="{00000000-0008-0000-0000-00001C040000}"/>
            </a:ext>
          </a:extLst>
        </xdr:cNvPr>
        <xdr:cNvPicPr>
          <a:picLocks noChangeAspect="1"/>
        </xdr:cNvPicPr>
      </xdr:nvPicPr>
      <xdr:blipFill>
        <a:blip xmlns:r="http://schemas.openxmlformats.org/officeDocument/2006/relationships" r:embed="rId1051"/>
        <a:stretch>
          <a:fillRect/>
        </a:stretch>
      </xdr:blipFill>
      <xdr:spPr>
        <a:prstGeom prst="rect">
          <a:avLst/>
        </a:prstGeom>
        <a:ln w="9525">
          <a:solidFill>
            <a:srgbClr val="000000"/>
          </a:solidFill>
          <a:prstDash val="solid"/>
        </a:ln>
      </xdr:spPr>
    </xdr:pic>
    <xdr:clientData/>
  </xdr:twoCellAnchor>
  <xdr:twoCellAnchor>
    <xdr:from>
      <xdr:col>3</xdr:col>
      <xdr:colOff>114300</xdr:colOff>
      <xdr:row>2615</xdr:row>
      <xdr:rowOff>28575</xdr:rowOff>
    </xdr:from>
    <xdr:to>
      <xdr:col>3</xdr:col>
      <xdr:colOff>1552575</xdr:colOff>
      <xdr:row>2615</xdr:row>
      <xdr:rowOff>1266825</xdr:rowOff>
    </xdr:to>
    <xdr:pic>
      <xdr:nvPicPr>
        <xdr:cNvPr id="1053" name="Имя " descr="Descr ">
          <a:extLst>
            <a:ext uri="{FF2B5EF4-FFF2-40B4-BE49-F238E27FC236}">
              <a16:creationId xmlns:a16="http://schemas.microsoft.com/office/drawing/2014/main" id="{00000000-0008-0000-0000-00001D040000}"/>
            </a:ext>
          </a:extLst>
        </xdr:cNvPr>
        <xdr:cNvPicPr>
          <a:picLocks noChangeAspect="1"/>
        </xdr:cNvPicPr>
      </xdr:nvPicPr>
      <xdr:blipFill>
        <a:blip xmlns:r="http://schemas.openxmlformats.org/officeDocument/2006/relationships" r:embed="rId1052"/>
        <a:stretch>
          <a:fillRect/>
        </a:stretch>
      </xdr:blipFill>
      <xdr:spPr>
        <a:prstGeom prst="rect">
          <a:avLst/>
        </a:prstGeom>
        <a:ln w="9525">
          <a:solidFill>
            <a:srgbClr val="000000"/>
          </a:solidFill>
          <a:prstDash val="solid"/>
        </a:ln>
      </xdr:spPr>
    </xdr:pic>
    <xdr:clientData/>
  </xdr:twoCellAnchor>
  <xdr:twoCellAnchor>
    <xdr:from>
      <xdr:col>3</xdr:col>
      <xdr:colOff>114300</xdr:colOff>
      <xdr:row>2616</xdr:row>
      <xdr:rowOff>28575</xdr:rowOff>
    </xdr:from>
    <xdr:to>
      <xdr:col>3</xdr:col>
      <xdr:colOff>1552575</xdr:colOff>
      <xdr:row>2616</xdr:row>
      <xdr:rowOff>1266825</xdr:rowOff>
    </xdr:to>
    <xdr:pic>
      <xdr:nvPicPr>
        <xdr:cNvPr id="1054" name="Имя " descr="Descr ">
          <a:extLst>
            <a:ext uri="{FF2B5EF4-FFF2-40B4-BE49-F238E27FC236}">
              <a16:creationId xmlns:a16="http://schemas.microsoft.com/office/drawing/2014/main" id="{00000000-0008-0000-0000-00001E040000}"/>
            </a:ext>
          </a:extLst>
        </xdr:cNvPr>
        <xdr:cNvPicPr>
          <a:picLocks noChangeAspect="1"/>
        </xdr:cNvPicPr>
      </xdr:nvPicPr>
      <xdr:blipFill>
        <a:blip xmlns:r="http://schemas.openxmlformats.org/officeDocument/2006/relationships" r:embed="rId1053"/>
        <a:stretch>
          <a:fillRect/>
        </a:stretch>
      </xdr:blipFill>
      <xdr:spPr>
        <a:prstGeom prst="rect">
          <a:avLst/>
        </a:prstGeom>
        <a:ln w="9525">
          <a:solidFill>
            <a:srgbClr val="000000"/>
          </a:solidFill>
          <a:prstDash val="solid"/>
        </a:ln>
      </xdr:spPr>
    </xdr:pic>
    <xdr:clientData/>
  </xdr:twoCellAnchor>
  <xdr:twoCellAnchor>
    <xdr:from>
      <xdr:col>3</xdr:col>
      <xdr:colOff>114300</xdr:colOff>
      <xdr:row>2617</xdr:row>
      <xdr:rowOff>28575</xdr:rowOff>
    </xdr:from>
    <xdr:to>
      <xdr:col>3</xdr:col>
      <xdr:colOff>1552575</xdr:colOff>
      <xdr:row>2617</xdr:row>
      <xdr:rowOff>1266825</xdr:rowOff>
    </xdr:to>
    <xdr:pic>
      <xdr:nvPicPr>
        <xdr:cNvPr id="1055" name="Имя " descr="Descr ">
          <a:extLst>
            <a:ext uri="{FF2B5EF4-FFF2-40B4-BE49-F238E27FC236}">
              <a16:creationId xmlns:a16="http://schemas.microsoft.com/office/drawing/2014/main" id="{00000000-0008-0000-0000-00001F040000}"/>
            </a:ext>
          </a:extLst>
        </xdr:cNvPr>
        <xdr:cNvPicPr>
          <a:picLocks noChangeAspect="1"/>
        </xdr:cNvPicPr>
      </xdr:nvPicPr>
      <xdr:blipFill>
        <a:blip xmlns:r="http://schemas.openxmlformats.org/officeDocument/2006/relationships" r:embed="rId1054"/>
        <a:stretch>
          <a:fillRect/>
        </a:stretch>
      </xdr:blipFill>
      <xdr:spPr>
        <a:prstGeom prst="rect">
          <a:avLst/>
        </a:prstGeom>
        <a:ln w="9525">
          <a:solidFill>
            <a:srgbClr val="000000"/>
          </a:solidFill>
          <a:prstDash val="solid"/>
        </a:ln>
      </xdr:spPr>
    </xdr:pic>
    <xdr:clientData/>
  </xdr:twoCellAnchor>
  <xdr:twoCellAnchor>
    <xdr:from>
      <xdr:col>3</xdr:col>
      <xdr:colOff>114300</xdr:colOff>
      <xdr:row>2618</xdr:row>
      <xdr:rowOff>28575</xdr:rowOff>
    </xdr:from>
    <xdr:to>
      <xdr:col>3</xdr:col>
      <xdr:colOff>1552575</xdr:colOff>
      <xdr:row>2618</xdr:row>
      <xdr:rowOff>1266825</xdr:rowOff>
    </xdr:to>
    <xdr:pic>
      <xdr:nvPicPr>
        <xdr:cNvPr id="1056" name="Имя " descr="Descr ">
          <a:extLst>
            <a:ext uri="{FF2B5EF4-FFF2-40B4-BE49-F238E27FC236}">
              <a16:creationId xmlns:a16="http://schemas.microsoft.com/office/drawing/2014/main" id="{00000000-0008-0000-0000-000020040000}"/>
            </a:ext>
          </a:extLst>
        </xdr:cNvPr>
        <xdr:cNvPicPr>
          <a:picLocks noChangeAspect="1"/>
        </xdr:cNvPicPr>
      </xdr:nvPicPr>
      <xdr:blipFill>
        <a:blip xmlns:r="http://schemas.openxmlformats.org/officeDocument/2006/relationships" r:embed="rId1055"/>
        <a:stretch>
          <a:fillRect/>
        </a:stretch>
      </xdr:blipFill>
      <xdr:spPr>
        <a:prstGeom prst="rect">
          <a:avLst/>
        </a:prstGeom>
        <a:ln w="9525">
          <a:solidFill>
            <a:srgbClr val="000000"/>
          </a:solidFill>
          <a:prstDash val="solid"/>
        </a:ln>
      </xdr:spPr>
    </xdr:pic>
    <xdr:clientData/>
  </xdr:twoCellAnchor>
  <xdr:twoCellAnchor>
    <xdr:from>
      <xdr:col>3</xdr:col>
      <xdr:colOff>114300</xdr:colOff>
      <xdr:row>2619</xdr:row>
      <xdr:rowOff>38100</xdr:rowOff>
    </xdr:from>
    <xdr:to>
      <xdr:col>3</xdr:col>
      <xdr:colOff>1552575</xdr:colOff>
      <xdr:row>2620</xdr:row>
      <xdr:rowOff>638175</xdr:rowOff>
    </xdr:to>
    <xdr:pic>
      <xdr:nvPicPr>
        <xdr:cNvPr id="1057" name="Имя " descr="Descr ">
          <a:extLst>
            <a:ext uri="{FF2B5EF4-FFF2-40B4-BE49-F238E27FC236}">
              <a16:creationId xmlns:a16="http://schemas.microsoft.com/office/drawing/2014/main" id="{00000000-0008-0000-0000-000021040000}"/>
            </a:ext>
          </a:extLst>
        </xdr:cNvPr>
        <xdr:cNvPicPr>
          <a:picLocks noChangeAspect="1"/>
        </xdr:cNvPicPr>
      </xdr:nvPicPr>
      <xdr:blipFill>
        <a:blip xmlns:r="http://schemas.openxmlformats.org/officeDocument/2006/relationships" r:embed="rId1056"/>
        <a:stretch>
          <a:fillRect/>
        </a:stretch>
      </xdr:blipFill>
      <xdr:spPr>
        <a:prstGeom prst="rect">
          <a:avLst/>
        </a:prstGeom>
        <a:ln w="9525">
          <a:solidFill>
            <a:srgbClr val="000000"/>
          </a:solidFill>
          <a:prstDash val="solid"/>
        </a:ln>
      </xdr:spPr>
    </xdr:pic>
    <xdr:clientData/>
  </xdr:twoCellAnchor>
  <xdr:twoCellAnchor>
    <xdr:from>
      <xdr:col>3</xdr:col>
      <xdr:colOff>114300</xdr:colOff>
      <xdr:row>2621</xdr:row>
      <xdr:rowOff>28575</xdr:rowOff>
    </xdr:from>
    <xdr:to>
      <xdr:col>3</xdr:col>
      <xdr:colOff>1552575</xdr:colOff>
      <xdr:row>2621</xdr:row>
      <xdr:rowOff>1266825</xdr:rowOff>
    </xdr:to>
    <xdr:pic>
      <xdr:nvPicPr>
        <xdr:cNvPr id="1058" name="Имя " descr="Descr ">
          <a:extLst>
            <a:ext uri="{FF2B5EF4-FFF2-40B4-BE49-F238E27FC236}">
              <a16:creationId xmlns:a16="http://schemas.microsoft.com/office/drawing/2014/main" id="{00000000-0008-0000-0000-000022040000}"/>
            </a:ext>
          </a:extLst>
        </xdr:cNvPr>
        <xdr:cNvPicPr>
          <a:picLocks noChangeAspect="1"/>
        </xdr:cNvPicPr>
      </xdr:nvPicPr>
      <xdr:blipFill>
        <a:blip xmlns:r="http://schemas.openxmlformats.org/officeDocument/2006/relationships" r:embed="rId1057"/>
        <a:stretch>
          <a:fillRect/>
        </a:stretch>
      </xdr:blipFill>
      <xdr:spPr>
        <a:prstGeom prst="rect">
          <a:avLst/>
        </a:prstGeom>
        <a:ln w="9525">
          <a:solidFill>
            <a:srgbClr val="000000"/>
          </a:solidFill>
          <a:prstDash val="solid"/>
        </a:ln>
      </xdr:spPr>
    </xdr:pic>
    <xdr:clientData/>
  </xdr:twoCellAnchor>
  <xdr:twoCellAnchor>
    <xdr:from>
      <xdr:col>3</xdr:col>
      <xdr:colOff>114300</xdr:colOff>
      <xdr:row>2622</xdr:row>
      <xdr:rowOff>28575</xdr:rowOff>
    </xdr:from>
    <xdr:to>
      <xdr:col>3</xdr:col>
      <xdr:colOff>1552575</xdr:colOff>
      <xdr:row>2624</xdr:row>
      <xdr:rowOff>419100</xdr:rowOff>
    </xdr:to>
    <xdr:pic>
      <xdr:nvPicPr>
        <xdr:cNvPr id="1059" name="Имя " descr="Descr ">
          <a:extLst>
            <a:ext uri="{FF2B5EF4-FFF2-40B4-BE49-F238E27FC236}">
              <a16:creationId xmlns:a16="http://schemas.microsoft.com/office/drawing/2014/main" id="{00000000-0008-0000-0000-000023040000}"/>
            </a:ext>
          </a:extLst>
        </xdr:cNvPr>
        <xdr:cNvPicPr>
          <a:picLocks noChangeAspect="1"/>
        </xdr:cNvPicPr>
      </xdr:nvPicPr>
      <xdr:blipFill>
        <a:blip xmlns:r="http://schemas.openxmlformats.org/officeDocument/2006/relationships" r:embed="rId1058"/>
        <a:stretch>
          <a:fillRect/>
        </a:stretch>
      </xdr:blipFill>
      <xdr:spPr>
        <a:prstGeom prst="rect">
          <a:avLst/>
        </a:prstGeom>
        <a:ln w="9525">
          <a:solidFill>
            <a:srgbClr val="000000"/>
          </a:solidFill>
          <a:prstDash val="solid"/>
        </a:ln>
      </xdr:spPr>
    </xdr:pic>
    <xdr:clientData/>
  </xdr:twoCellAnchor>
  <xdr:twoCellAnchor>
    <xdr:from>
      <xdr:col>3</xdr:col>
      <xdr:colOff>114300</xdr:colOff>
      <xdr:row>2625</xdr:row>
      <xdr:rowOff>28575</xdr:rowOff>
    </xdr:from>
    <xdr:to>
      <xdr:col>3</xdr:col>
      <xdr:colOff>1552575</xdr:colOff>
      <xdr:row>2625</xdr:row>
      <xdr:rowOff>1266825</xdr:rowOff>
    </xdr:to>
    <xdr:pic>
      <xdr:nvPicPr>
        <xdr:cNvPr id="1060" name="Имя " descr="Descr ">
          <a:extLst>
            <a:ext uri="{FF2B5EF4-FFF2-40B4-BE49-F238E27FC236}">
              <a16:creationId xmlns:a16="http://schemas.microsoft.com/office/drawing/2014/main" id="{00000000-0008-0000-0000-000024040000}"/>
            </a:ext>
          </a:extLst>
        </xdr:cNvPr>
        <xdr:cNvPicPr>
          <a:picLocks noChangeAspect="1"/>
        </xdr:cNvPicPr>
      </xdr:nvPicPr>
      <xdr:blipFill>
        <a:blip xmlns:r="http://schemas.openxmlformats.org/officeDocument/2006/relationships" r:embed="rId1059"/>
        <a:stretch>
          <a:fillRect/>
        </a:stretch>
      </xdr:blipFill>
      <xdr:spPr>
        <a:prstGeom prst="rect">
          <a:avLst/>
        </a:prstGeom>
        <a:ln w="9525">
          <a:solidFill>
            <a:srgbClr val="000000"/>
          </a:solidFill>
          <a:prstDash val="solid"/>
        </a:ln>
      </xdr:spPr>
    </xdr:pic>
    <xdr:clientData/>
  </xdr:twoCellAnchor>
  <xdr:twoCellAnchor>
    <xdr:from>
      <xdr:col>3</xdr:col>
      <xdr:colOff>114300</xdr:colOff>
      <xdr:row>2626</xdr:row>
      <xdr:rowOff>28575</xdr:rowOff>
    </xdr:from>
    <xdr:to>
      <xdr:col>3</xdr:col>
      <xdr:colOff>1552575</xdr:colOff>
      <xdr:row>2626</xdr:row>
      <xdr:rowOff>1266825</xdr:rowOff>
    </xdr:to>
    <xdr:pic>
      <xdr:nvPicPr>
        <xdr:cNvPr id="1061" name="Имя " descr="Descr ">
          <a:extLst>
            <a:ext uri="{FF2B5EF4-FFF2-40B4-BE49-F238E27FC236}">
              <a16:creationId xmlns:a16="http://schemas.microsoft.com/office/drawing/2014/main" id="{00000000-0008-0000-0000-000025040000}"/>
            </a:ext>
          </a:extLst>
        </xdr:cNvPr>
        <xdr:cNvPicPr>
          <a:picLocks noChangeAspect="1"/>
        </xdr:cNvPicPr>
      </xdr:nvPicPr>
      <xdr:blipFill>
        <a:blip xmlns:r="http://schemas.openxmlformats.org/officeDocument/2006/relationships" r:embed="rId1060"/>
        <a:stretch>
          <a:fillRect/>
        </a:stretch>
      </xdr:blipFill>
      <xdr:spPr>
        <a:prstGeom prst="rect">
          <a:avLst/>
        </a:prstGeom>
        <a:ln w="9525">
          <a:solidFill>
            <a:srgbClr val="000000"/>
          </a:solidFill>
          <a:prstDash val="solid"/>
        </a:ln>
      </xdr:spPr>
    </xdr:pic>
    <xdr:clientData/>
  </xdr:twoCellAnchor>
  <xdr:twoCellAnchor>
    <xdr:from>
      <xdr:col>3</xdr:col>
      <xdr:colOff>114300</xdr:colOff>
      <xdr:row>2627</xdr:row>
      <xdr:rowOff>28575</xdr:rowOff>
    </xdr:from>
    <xdr:to>
      <xdr:col>3</xdr:col>
      <xdr:colOff>1552575</xdr:colOff>
      <xdr:row>2627</xdr:row>
      <xdr:rowOff>1266825</xdr:rowOff>
    </xdr:to>
    <xdr:pic>
      <xdr:nvPicPr>
        <xdr:cNvPr id="1062" name="Имя " descr="Descr ">
          <a:extLst>
            <a:ext uri="{FF2B5EF4-FFF2-40B4-BE49-F238E27FC236}">
              <a16:creationId xmlns:a16="http://schemas.microsoft.com/office/drawing/2014/main" id="{00000000-0008-0000-0000-000026040000}"/>
            </a:ext>
          </a:extLst>
        </xdr:cNvPr>
        <xdr:cNvPicPr>
          <a:picLocks noChangeAspect="1"/>
        </xdr:cNvPicPr>
      </xdr:nvPicPr>
      <xdr:blipFill>
        <a:blip xmlns:r="http://schemas.openxmlformats.org/officeDocument/2006/relationships" r:embed="rId1061"/>
        <a:stretch>
          <a:fillRect/>
        </a:stretch>
      </xdr:blipFill>
      <xdr:spPr>
        <a:prstGeom prst="rect">
          <a:avLst/>
        </a:prstGeom>
        <a:ln w="9525">
          <a:solidFill>
            <a:srgbClr val="000000"/>
          </a:solidFill>
          <a:prstDash val="solid"/>
        </a:ln>
      </xdr:spPr>
    </xdr:pic>
    <xdr:clientData/>
  </xdr:twoCellAnchor>
  <xdr:twoCellAnchor>
    <xdr:from>
      <xdr:col>3</xdr:col>
      <xdr:colOff>114300</xdr:colOff>
      <xdr:row>2628</xdr:row>
      <xdr:rowOff>28575</xdr:rowOff>
    </xdr:from>
    <xdr:to>
      <xdr:col>3</xdr:col>
      <xdr:colOff>1552575</xdr:colOff>
      <xdr:row>2630</xdr:row>
      <xdr:rowOff>419100</xdr:rowOff>
    </xdr:to>
    <xdr:pic>
      <xdr:nvPicPr>
        <xdr:cNvPr id="1063" name="Имя " descr="Descr ">
          <a:extLst>
            <a:ext uri="{FF2B5EF4-FFF2-40B4-BE49-F238E27FC236}">
              <a16:creationId xmlns:a16="http://schemas.microsoft.com/office/drawing/2014/main" id="{00000000-0008-0000-0000-000027040000}"/>
            </a:ext>
          </a:extLst>
        </xdr:cNvPr>
        <xdr:cNvPicPr>
          <a:picLocks noChangeAspect="1"/>
        </xdr:cNvPicPr>
      </xdr:nvPicPr>
      <xdr:blipFill>
        <a:blip xmlns:r="http://schemas.openxmlformats.org/officeDocument/2006/relationships" r:embed="rId1062"/>
        <a:stretch>
          <a:fillRect/>
        </a:stretch>
      </xdr:blipFill>
      <xdr:spPr>
        <a:prstGeom prst="rect">
          <a:avLst/>
        </a:prstGeom>
        <a:ln w="9525">
          <a:solidFill>
            <a:srgbClr val="000000"/>
          </a:solidFill>
          <a:prstDash val="solid"/>
        </a:ln>
      </xdr:spPr>
    </xdr:pic>
    <xdr:clientData/>
  </xdr:twoCellAnchor>
  <xdr:twoCellAnchor>
    <xdr:from>
      <xdr:col>3</xdr:col>
      <xdr:colOff>114300</xdr:colOff>
      <xdr:row>2631</xdr:row>
      <xdr:rowOff>28575</xdr:rowOff>
    </xdr:from>
    <xdr:to>
      <xdr:col>3</xdr:col>
      <xdr:colOff>1552575</xdr:colOff>
      <xdr:row>2631</xdr:row>
      <xdr:rowOff>1266825</xdr:rowOff>
    </xdr:to>
    <xdr:pic>
      <xdr:nvPicPr>
        <xdr:cNvPr id="1064" name="Имя " descr="Descr ">
          <a:extLst>
            <a:ext uri="{FF2B5EF4-FFF2-40B4-BE49-F238E27FC236}">
              <a16:creationId xmlns:a16="http://schemas.microsoft.com/office/drawing/2014/main" id="{00000000-0008-0000-0000-000028040000}"/>
            </a:ext>
          </a:extLst>
        </xdr:cNvPr>
        <xdr:cNvPicPr>
          <a:picLocks noChangeAspect="1"/>
        </xdr:cNvPicPr>
      </xdr:nvPicPr>
      <xdr:blipFill>
        <a:blip xmlns:r="http://schemas.openxmlformats.org/officeDocument/2006/relationships" r:embed="rId1063"/>
        <a:stretch>
          <a:fillRect/>
        </a:stretch>
      </xdr:blipFill>
      <xdr:spPr>
        <a:prstGeom prst="rect">
          <a:avLst/>
        </a:prstGeom>
        <a:ln w="9525">
          <a:solidFill>
            <a:srgbClr val="000000"/>
          </a:solidFill>
          <a:prstDash val="solid"/>
        </a:ln>
      </xdr:spPr>
    </xdr:pic>
    <xdr:clientData/>
  </xdr:twoCellAnchor>
  <xdr:twoCellAnchor>
    <xdr:from>
      <xdr:col>3</xdr:col>
      <xdr:colOff>114300</xdr:colOff>
      <xdr:row>2632</xdr:row>
      <xdr:rowOff>28575</xdr:rowOff>
    </xdr:from>
    <xdr:to>
      <xdr:col>3</xdr:col>
      <xdr:colOff>1552575</xdr:colOff>
      <xdr:row>2632</xdr:row>
      <xdr:rowOff>1266825</xdr:rowOff>
    </xdr:to>
    <xdr:pic>
      <xdr:nvPicPr>
        <xdr:cNvPr id="1065" name="Имя " descr="Descr ">
          <a:extLst>
            <a:ext uri="{FF2B5EF4-FFF2-40B4-BE49-F238E27FC236}">
              <a16:creationId xmlns:a16="http://schemas.microsoft.com/office/drawing/2014/main" id="{00000000-0008-0000-0000-000029040000}"/>
            </a:ext>
          </a:extLst>
        </xdr:cNvPr>
        <xdr:cNvPicPr>
          <a:picLocks noChangeAspect="1"/>
        </xdr:cNvPicPr>
      </xdr:nvPicPr>
      <xdr:blipFill>
        <a:blip xmlns:r="http://schemas.openxmlformats.org/officeDocument/2006/relationships" r:embed="rId1064"/>
        <a:stretch>
          <a:fillRect/>
        </a:stretch>
      </xdr:blipFill>
      <xdr:spPr>
        <a:prstGeom prst="rect">
          <a:avLst/>
        </a:prstGeom>
        <a:ln w="9525">
          <a:solidFill>
            <a:srgbClr val="000000"/>
          </a:solidFill>
          <a:prstDash val="solid"/>
        </a:ln>
      </xdr:spPr>
    </xdr:pic>
    <xdr:clientData/>
  </xdr:twoCellAnchor>
  <xdr:twoCellAnchor>
    <xdr:from>
      <xdr:col>3</xdr:col>
      <xdr:colOff>114300</xdr:colOff>
      <xdr:row>2633</xdr:row>
      <xdr:rowOff>28575</xdr:rowOff>
    </xdr:from>
    <xdr:to>
      <xdr:col>3</xdr:col>
      <xdr:colOff>1552575</xdr:colOff>
      <xdr:row>2635</xdr:row>
      <xdr:rowOff>419100</xdr:rowOff>
    </xdr:to>
    <xdr:pic>
      <xdr:nvPicPr>
        <xdr:cNvPr id="1066" name="Имя " descr="Descr ">
          <a:extLst>
            <a:ext uri="{FF2B5EF4-FFF2-40B4-BE49-F238E27FC236}">
              <a16:creationId xmlns:a16="http://schemas.microsoft.com/office/drawing/2014/main" id="{00000000-0008-0000-0000-00002A040000}"/>
            </a:ext>
          </a:extLst>
        </xdr:cNvPr>
        <xdr:cNvPicPr>
          <a:picLocks noChangeAspect="1"/>
        </xdr:cNvPicPr>
      </xdr:nvPicPr>
      <xdr:blipFill>
        <a:blip xmlns:r="http://schemas.openxmlformats.org/officeDocument/2006/relationships" r:embed="rId1065"/>
        <a:stretch>
          <a:fillRect/>
        </a:stretch>
      </xdr:blipFill>
      <xdr:spPr>
        <a:prstGeom prst="rect">
          <a:avLst/>
        </a:prstGeom>
        <a:ln w="9525">
          <a:solidFill>
            <a:srgbClr val="000000"/>
          </a:solidFill>
          <a:prstDash val="solid"/>
        </a:ln>
      </xdr:spPr>
    </xdr:pic>
    <xdr:clientData/>
  </xdr:twoCellAnchor>
  <xdr:twoCellAnchor>
    <xdr:from>
      <xdr:col>3</xdr:col>
      <xdr:colOff>114300</xdr:colOff>
      <xdr:row>2636</xdr:row>
      <xdr:rowOff>38100</xdr:rowOff>
    </xdr:from>
    <xdr:to>
      <xdr:col>3</xdr:col>
      <xdr:colOff>1552575</xdr:colOff>
      <xdr:row>2637</xdr:row>
      <xdr:rowOff>638175</xdr:rowOff>
    </xdr:to>
    <xdr:pic>
      <xdr:nvPicPr>
        <xdr:cNvPr id="1067" name="Имя " descr="Descr ">
          <a:extLst>
            <a:ext uri="{FF2B5EF4-FFF2-40B4-BE49-F238E27FC236}">
              <a16:creationId xmlns:a16="http://schemas.microsoft.com/office/drawing/2014/main" id="{00000000-0008-0000-0000-00002B040000}"/>
            </a:ext>
          </a:extLst>
        </xdr:cNvPr>
        <xdr:cNvPicPr>
          <a:picLocks noChangeAspect="1"/>
        </xdr:cNvPicPr>
      </xdr:nvPicPr>
      <xdr:blipFill>
        <a:blip xmlns:r="http://schemas.openxmlformats.org/officeDocument/2006/relationships" r:embed="rId1066"/>
        <a:stretch>
          <a:fillRect/>
        </a:stretch>
      </xdr:blipFill>
      <xdr:spPr>
        <a:prstGeom prst="rect">
          <a:avLst/>
        </a:prstGeom>
        <a:ln w="9525">
          <a:solidFill>
            <a:srgbClr val="000000"/>
          </a:solidFill>
          <a:prstDash val="solid"/>
        </a:ln>
      </xdr:spPr>
    </xdr:pic>
    <xdr:clientData/>
  </xdr:twoCellAnchor>
  <xdr:twoCellAnchor>
    <xdr:from>
      <xdr:col>3</xdr:col>
      <xdr:colOff>114300</xdr:colOff>
      <xdr:row>2638</xdr:row>
      <xdr:rowOff>28575</xdr:rowOff>
    </xdr:from>
    <xdr:to>
      <xdr:col>3</xdr:col>
      <xdr:colOff>1552575</xdr:colOff>
      <xdr:row>2638</xdr:row>
      <xdr:rowOff>1266825</xdr:rowOff>
    </xdr:to>
    <xdr:pic>
      <xdr:nvPicPr>
        <xdr:cNvPr id="1068" name="Имя " descr="Descr ">
          <a:extLst>
            <a:ext uri="{FF2B5EF4-FFF2-40B4-BE49-F238E27FC236}">
              <a16:creationId xmlns:a16="http://schemas.microsoft.com/office/drawing/2014/main" id="{00000000-0008-0000-0000-00002C040000}"/>
            </a:ext>
          </a:extLst>
        </xdr:cNvPr>
        <xdr:cNvPicPr>
          <a:picLocks noChangeAspect="1"/>
        </xdr:cNvPicPr>
      </xdr:nvPicPr>
      <xdr:blipFill>
        <a:blip xmlns:r="http://schemas.openxmlformats.org/officeDocument/2006/relationships" r:embed="rId1067"/>
        <a:stretch>
          <a:fillRect/>
        </a:stretch>
      </xdr:blipFill>
      <xdr:spPr>
        <a:prstGeom prst="rect">
          <a:avLst/>
        </a:prstGeom>
        <a:ln w="9525">
          <a:solidFill>
            <a:srgbClr val="000000"/>
          </a:solidFill>
          <a:prstDash val="solid"/>
        </a:ln>
      </xdr:spPr>
    </xdr:pic>
    <xdr:clientData/>
  </xdr:twoCellAnchor>
  <xdr:twoCellAnchor>
    <xdr:from>
      <xdr:col>3</xdr:col>
      <xdr:colOff>114300</xdr:colOff>
      <xdr:row>2639</xdr:row>
      <xdr:rowOff>38100</xdr:rowOff>
    </xdr:from>
    <xdr:to>
      <xdr:col>3</xdr:col>
      <xdr:colOff>1552575</xdr:colOff>
      <xdr:row>2640</xdr:row>
      <xdr:rowOff>638175</xdr:rowOff>
    </xdr:to>
    <xdr:pic>
      <xdr:nvPicPr>
        <xdr:cNvPr id="1069" name="Имя " descr="Descr ">
          <a:extLst>
            <a:ext uri="{FF2B5EF4-FFF2-40B4-BE49-F238E27FC236}">
              <a16:creationId xmlns:a16="http://schemas.microsoft.com/office/drawing/2014/main" id="{00000000-0008-0000-0000-00002D040000}"/>
            </a:ext>
          </a:extLst>
        </xdr:cNvPr>
        <xdr:cNvPicPr>
          <a:picLocks noChangeAspect="1"/>
        </xdr:cNvPicPr>
      </xdr:nvPicPr>
      <xdr:blipFill>
        <a:blip xmlns:r="http://schemas.openxmlformats.org/officeDocument/2006/relationships" r:embed="rId1068"/>
        <a:stretch>
          <a:fillRect/>
        </a:stretch>
      </xdr:blipFill>
      <xdr:spPr>
        <a:prstGeom prst="rect">
          <a:avLst/>
        </a:prstGeom>
        <a:ln w="9525">
          <a:solidFill>
            <a:srgbClr val="000000"/>
          </a:solidFill>
          <a:prstDash val="solid"/>
        </a:ln>
      </xdr:spPr>
    </xdr:pic>
    <xdr:clientData/>
  </xdr:twoCellAnchor>
  <xdr:twoCellAnchor>
    <xdr:from>
      <xdr:col>3</xdr:col>
      <xdr:colOff>114300</xdr:colOff>
      <xdr:row>2641</xdr:row>
      <xdr:rowOff>28575</xdr:rowOff>
    </xdr:from>
    <xdr:to>
      <xdr:col>3</xdr:col>
      <xdr:colOff>1552575</xdr:colOff>
      <xdr:row>2643</xdr:row>
      <xdr:rowOff>419100</xdr:rowOff>
    </xdr:to>
    <xdr:pic>
      <xdr:nvPicPr>
        <xdr:cNvPr id="1070" name="Имя " descr="Descr ">
          <a:extLst>
            <a:ext uri="{FF2B5EF4-FFF2-40B4-BE49-F238E27FC236}">
              <a16:creationId xmlns:a16="http://schemas.microsoft.com/office/drawing/2014/main" id="{00000000-0008-0000-0000-00002E040000}"/>
            </a:ext>
          </a:extLst>
        </xdr:cNvPr>
        <xdr:cNvPicPr>
          <a:picLocks noChangeAspect="1"/>
        </xdr:cNvPicPr>
      </xdr:nvPicPr>
      <xdr:blipFill>
        <a:blip xmlns:r="http://schemas.openxmlformats.org/officeDocument/2006/relationships" r:embed="rId1069"/>
        <a:stretch>
          <a:fillRect/>
        </a:stretch>
      </xdr:blipFill>
      <xdr:spPr>
        <a:prstGeom prst="rect">
          <a:avLst/>
        </a:prstGeom>
        <a:ln w="9525">
          <a:solidFill>
            <a:srgbClr val="000000"/>
          </a:solidFill>
          <a:prstDash val="solid"/>
        </a:ln>
      </xdr:spPr>
    </xdr:pic>
    <xdr:clientData/>
  </xdr:twoCellAnchor>
  <xdr:twoCellAnchor>
    <xdr:from>
      <xdr:col>3</xdr:col>
      <xdr:colOff>114300</xdr:colOff>
      <xdr:row>2644</xdr:row>
      <xdr:rowOff>28575</xdr:rowOff>
    </xdr:from>
    <xdr:to>
      <xdr:col>3</xdr:col>
      <xdr:colOff>1552575</xdr:colOff>
      <xdr:row>2644</xdr:row>
      <xdr:rowOff>1266825</xdr:rowOff>
    </xdr:to>
    <xdr:pic>
      <xdr:nvPicPr>
        <xdr:cNvPr id="1071" name="Имя " descr="Descr ">
          <a:extLst>
            <a:ext uri="{FF2B5EF4-FFF2-40B4-BE49-F238E27FC236}">
              <a16:creationId xmlns:a16="http://schemas.microsoft.com/office/drawing/2014/main" id="{00000000-0008-0000-0000-00002F040000}"/>
            </a:ext>
          </a:extLst>
        </xdr:cNvPr>
        <xdr:cNvPicPr>
          <a:picLocks noChangeAspect="1"/>
        </xdr:cNvPicPr>
      </xdr:nvPicPr>
      <xdr:blipFill>
        <a:blip xmlns:r="http://schemas.openxmlformats.org/officeDocument/2006/relationships" r:embed="rId1070"/>
        <a:stretch>
          <a:fillRect/>
        </a:stretch>
      </xdr:blipFill>
      <xdr:spPr>
        <a:prstGeom prst="rect">
          <a:avLst/>
        </a:prstGeom>
        <a:ln w="9525">
          <a:solidFill>
            <a:srgbClr val="000000"/>
          </a:solidFill>
          <a:prstDash val="solid"/>
        </a:ln>
      </xdr:spPr>
    </xdr:pic>
    <xdr:clientData/>
  </xdr:twoCellAnchor>
  <xdr:twoCellAnchor>
    <xdr:from>
      <xdr:col>3</xdr:col>
      <xdr:colOff>114300</xdr:colOff>
      <xdr:row>2645</xdr:row>
      <xdr:rowOff>28575</xdr:rowOff>
    </xdr:from>
    <xdr:to>
      <xdr:col>3</xdr:col>
      <xdr:colOff>1552575</xdr:colOff>
      <xdr:row>2649</xdr:row>
      <xdr:rowOff>333375</xdr:rowOff>
    </xdr:to>
    <xdr:pic>
      <xdr:nvPicPr>
        <xdr:cNvPr id="1072" name="Имя " descr="Descr ">
          <a:extLst>
            <a:ext uri="{FF2B5EF4-FFF2-40B4-BE49-F238E27FC236}">
              <a16:creationId xmlns:a16="http://schemas.microsoft.com/office/drawing/2014/main" id="{00000000-0008-0000-0000-000030040000}"/>
            </a:ext>
          </a:extLst>
        </xdr:cNvPr>
        <xdr:cNvPicPr>
          <a:picLocks noChangeAspect="1"/>
        </xdr:cNvPicPr>
      </xdr:nvPicPr>
      <xdr:blipFill>
        <a:blip xmlns:r="http://schemas.openxmlformats.org/officeDocument/2006/relationships" r:embed="rId1071"/>
        <a:stretch>
          <a:fillRect/>
        </a:stretch>
      </xdr:blipFill>
      <xdr:spPr>
        <a:prstGeom prst="rect">
          <a:avLst/>
        </a:prstGeom>
        <a:ln w="9525">
          <a:solidFill>
            <a:srgbClr val="000000"/>
          </a:solidFill>
          <a:prstDash val="solid"/>
        </a:ln>
      </xdr:spPr>
    </xdr:pic>
    <xdr:clientData/>
  </xdr:twoCellAnchor>
  <xdr:twoCellAnchor>
    <xdr:from>
      <xdr:col>3</xdr:col>
      <xdr:colOff>114300</xdr:colOff>
      <xdr:row>2650</xdr:row>
      <xdr:rowOff>28575</xdr:rowOff>
    </xdr:from>
    <xdr:to>
      <xdr:col>3</xdr:col>
      <xdr:colOff>1552575</xdr:colOff>
      <xdr:row>2653</xdr:row>
      <xdr:rowOff>209550</xdr:rowOff>
    </xdr:to>
    <xdr:pic>
      <xdr:nvPicPr>
        <xdr:cNvPr id="1073" name="Имя " descr="Descr ">
          <a:extLst>
            <a:ext uri="{FF2B5EF4-FFF2-40B4-BE49-F238E27FC236}">
              <a16:creationId xmlns:a16="http://schemas.microsoft.com/office/drawing/2014/main" id="{00000000-0008-0000-0000-000031040000}"/>
            </a:ext>
          </a:extLst>
        </xdr:cNvPr>
        <xdr:cNvPicPr>
          <a:picLocks noChangeAspect="1"/>
        </xdr:cNvPicPr>
      </xdr:nvPicPr>
      <xdr:blipFill>
        <a:blip xmlns:r="http://schemas.openxmlformats.org/officeDocument/2006/relationships" r:embed="rId1072"/>
        <a:stretch>
          <a:fillRect/>
        </a:stretch>
      </xdr:blipFill>
      <xdr:spPr>
        <a:prstGeom prst="rect">
          <a:avLst/>
        </a:prstGeom>
        <a:ln w="9525">
          <a:solidFill>
            <a:srgbClr val="000000"/>
          </a:solidFill>
          <a:prstDash val="solid"/>
        </a:ln>
      </xdr:spPr>
    </xdr:pic>
    <xdr:clientData/>
  </xdr:twoCellAnchor>
  <xdr:twoCellAnchor>
    <xdr:from>
      <xdr:col>3</xdr:col>
      <xdr:colOff>114300</xdr:colOff>
      <xdr:row>2654</xdr:row>
      <xdr:rowOff>28575</xdr:rowOff>
    </xdr:from>
    <xdr:to>
      <xdr:col>3</xdr:col>
      <xdr:colOff>1552575</xdr:colOff>
      <xdr:row>2658</xdr:row>
      <xdr:rowOff>333375</xdr:rowOff>
    </xdr:to>
    <xdr:pic>
      <xdr:nvPicPr>
        <xdr:cNvPr id="1074" name="Имя " descr="Descr ">
          <a:extLst>
            <a:ext uri="{FF2B5EF4-FFF2-40B4-BE49-F238E27FC236}">
              <a16:creationId xmlns:a16="http://schemas.microsoft.com/office/drawing/2014/main" id="{00000000-0008-0000-0000-000032040000}"/>
            </a:ext>
          </a:extLst>
        </xdr:cNvPr>
        <xdr:cNvPicPr>
          <a:picLocks noChangeAspect="1"/>
        </xdr:cNvPicPr>
      </xdr:nvPicPr>
      <xdr:blipFill>
        <a:blip xmlns:r="http://schemas.openxmlformats.org/officeDocument/2006/relationships" r:embed="rId1073"/>
        <a:stretch>
          <a:fillRect/>
        </a:stretch>
      </xdr:blipFill>
      <xdr:spPr>
        <a:prstGeom prst="rect">
          <a:avLst/>
        </a:prstGeom>
        <a:ln w="9525">
          <a:solidFill>
            <a:srgbClr val="000000"/>
          </a:solidFill>
          <a:prstDash val="solid"/>
        </a:ln>
      </xdr:spPr>
    </xdr:pic>
    <xdr:clientData/>
  </xdr:twoCellAnchor>
  <xdr:twoCellAnchor>
    <xdr:from>
      <xdr:col>3</xdr:col>
      <xdr:colOff>114300</xdr:colOff>
      <xdr:row>2659</xdr:row>
      <xdr:rowOff>28575</xdr:rowOff>
    </xdr:from>
    <xdr:to>
      <xdr:col>3</xdr:col>
      <xdr:colOff>1552575</xdr:colOff>
      <xdr:row>2661</xdr:row>
      <xdr:rowOff>419100</xdr:rowOff>
    </xdr:to>
    <xdr:pic>
      <xdr:nvPicPr>
        <xdr:cNvPr id="1075" name="Имя " descr="Descr ">
          <a:extLst>
            <a:ext uri="{FF2B5EF4-FFF2-40B4-BE49-F238E27FC236}">
              <a16:creationId xmlns:a16="http://schemas.microsoft.com/office/drawing/2014/main" id="{00000000-0008-0000-0000-000033040000}"/>
            </a:ext>
          </a:extLst>
        </xdr:cNvPr>
        <xdr:cNvPicPr>
          <a:picLocks noChangeAspect="1"/>
        </xdr:cNvPicPr>
      </xdr:nvPicPr>
      <xdr:blipFill>
        <a:blip xmlns:r="http://schemas.openxmlformats.org/officeDocument/2006/relationships" r:embed="rId1074"/>
        <a:stretch>
          <a:fillRect/>
        </a:stretch>
      </xdr:blipFill>
      <xdr:spPr>
        <a:prstGeom prst="rect">
          <a:avLst/>
        </a:prstGeom>
        <a:ln w="9525">
          <a:solidFill>
            <a:srgbClr val="000000"/>
          </a:solidFill>
          <a:prstDash val="solid"/>
        </a:ln>
      </xdr:spPr>
    </xdr:pic>
    <xdr:clientData/>
  </xdr:twoCellAnchor>
  <xdr:twoCellAnchor>
    <xdr:from>
      <xdr:col>3</xdr:col>
      <xdr:colOff>114300</xdr:colOff>
      <xdr:row>2662</xdr:row>
      <xdr:rowOff>28575</xdr:rowOff>
    </xdr:from>
    <xdr:to>
      <xdr:col>3</xdr:col>
      <xdr:colOff>1552575</xdr:colOff>
      <xdr:row>2662</xdr:row>
      <xdr:rowOff>1266825</xdr:rowOff>
    </xdr:to>
    <xdr:pic>
      <xdr:nvPicPr>
        <xdr:cNvPr id="1076" name="Имя " descr="Descr ">
          <a:extLst>
            <a:ext uri="{FF2B5EF4-FFF2-40B4-BE49-F238E27FC236}">
              <a16:creationId xmlns:a16="http://schemas.microsoft.com/office/drawing/2014/main" id="{00000000-0008-0000-0000-000034040000}"/>
            </a:ext>
          </a:extLst>
        </xdr:cNvPr>
        <xdr:cNvPicPr>
          <a:picLocks noChangeAspect="1"/>
        </xdr:cNvPicPr>
      </xdr:nvPicPr>
      <xdr:blipFill>
        <a:blip xmlns:r="http://schemas.openxmlformats.org/officeDocument/2006/relationships" r:embed="rId1075"/>
        <a:stretch>
          <a:fillRect/>
        </a:stretch>
      </xdr:blipFill>
      <xdr:spPr>
        <a:prstGeom prst="rect">
          <a:avLst/>
        </a:prstGeom>
        <a:ln w="9525">
          <a:solidFill>
            <a:srgbClr val="000000"/>
          </a:solidFill>
          <a:prstDash val="solid"/>
        </a:ln>
      </xdr:spPr>
    </xdr:pic>
    <xdr:clientData/>
  </xdr:twoCellAnchor>
  <xdr:twoCellAnchor>
    <xdr:from>
      <xdr:col>3</xdr:col>
      <xdr:colOff>114300</xdr:colOff>
      <xdr:row>2663</xdr:row>
      <xdr:rowOff>38100</xdr:rowOff>
    </xdr:from>
    <xdr:to>
      <xdr:col>3</xdr:col>
      <xdr:colOff>1552575</xdr:colOff>
      <xdr:row>2664</xdr:row>
      <xdr:rowOff>638175</xdr:rowOff>
    </xdr:to>
    <xdr:pic>
      <xdr:nvPicPr>
        <xdr:cNvPr id="1077" name="Имя " descr="Descr ">
          <a:extLst>
            <a:ext uri="{FF2B5EF4-FFF2-40B4-BE49-F238E27FC236}">
              <a16:creationId xmlns:a16="http://schemas.microsoft.com/office/drawing/2014/main" id="{00000000-0008-0000-0000-000035040000}"/>
            </a:ext>
          </a:extLst>
        </xdr:cNvPr>
        <xdr:cNvPicPr>
          <a:picLocks noChangeAspect="1"/>
        </xdr:cNvPicPr>
      </xdr:nvPicPr>
      <xdr:blipFill>
        <a:blip xmlns:r="http://schemas.openxmlformats.org/officeDocument/2006/relationships" r:embed="rId1076"/>
        <a:stretch>
          <a:fillRect/>
        </a:stretch>
      </xdr:blipFill>
      <xdr:spPr>
        <a:prstGeom prst="rect">
          <a:avLst/>
        </a:prstGeom>
        <a:ln w="9525">
          <a:solidFill>
            <a:srgbClr val="000000"/>
          </a:solidFill>
          <a:prstDash val="solid"/>
        </a:ln>
      </xdr:spPr>
    </xdr:pic>
    <xdr:clientData/>
  </xdr:twoCellAnchor>
  <xdr:twoCellAnchor>
    <xdr:from>
      <xdr:col>3</xdr:col>
      <xdr:colOff>114300</xdr:colOff>
      <xdr:row>2665</xdr:row>
      <xdr:rowOff>28575</xdr:rowOff>
    </xdr:from>
    <xdr:to>
      <xdr:col>3</xdr:col>
      <xdr:colOff>1552575</xdr:colOff>
      <xdr:row>2665</xdr:row>
      <xdr:rowOff>1266825</xdr:rowOff>
    </xdr:to>
    <xdr:pic>
      <xdr:nvPicPr>
        <xdr:cNvPr id="1078" name="Имя " descr="Descr ">
          <a:extLst>
            <a:ext uri="{FF2B5EF4-FFF2-40B4-BE49-F238E27FC236}">
              <a16:creationId xmlns:a16="http://schemas.microsoft.com/office/drawing/2014/main" id="{00000000-0008-0000-0000-000036040000}"/>
            </a:ext>
          </a:extLst>
        </xdr:cNvPr>
        <xdr:cNvPicPr>
          <a:picLocks noChangeAspect="1"/>
        </xdr:cNvPicPr>
      </xdr:nvPicPr>
      <xdr:blipFill>
        <a:blip xmlns:r="http://schemas.openxmlformats.org/officeDocument/2006/relationships" r:embed="rId1077"/>
        <a:stretch>
          <a:fillRect/>
        </a:stretch>
      </xdr:blipFill>
      <xdr:spPr>
        <a:prstGeom prst="rect">
          <a:avLst/>
        </a:prstGeom>
        <a:ln w="9525">
          <a:solidFill>
            <a:srgbClr val="000000"/>
          </a:solidFill>
          <a:prstDash val="solid"/>
        </a:ln>
      </xdr:spPr>
    </xdr:pic>
    <xdr:clientData/>
  </xdr:twoCellAnchor>
  <xdr:twoCellAnchor>
    <xdr:from>
      <xdr:col>3</xdr:col>
      <xdr:colOff>114300</xdr:colOff>
      <xdr:row>2666</xdr:row>
      <xdr:rowOff>38100</xdr:rowOff>
    </xdr:from>
    <xdr:to>
      <xdr:col>3</xdr:col>
      <xdr:colOff>1552575</xdr:colOff>
      <xdr:row>2667</xdr:row>
      <xdr:rowOff>638175</xdr:rowOff>
    </xdr:to>
    <xdr:pic>
      <xdr:nvPicPr>
        <xdr:cNvPr id="1079" name="Имя " descr="Descr ">
          <a:extLst>
            <a:ext uri="{FF2B5EF4-FFF2-40B4-BE49-F238E27FC236}">
              <a16:creationId xmlns:a16="http://schemas.microsoft.com/office/drawing/2014/main" id="{00000000-0008-0000-0000-000037040000}"/>
            </a:ext>
          </a:extLst>
        </xdr:cNvPr>
        <xdr:cNvPicPr>
          <a:picLocks noChangeAspect="1"/>
        </xdr:cNvPicPr>
      </xdr:nvPicPr>
      <xdr:blipFill>
        <a:blip xmlns:r="http://schemas.openxmlformats.org/officeDocument/2006/relationships" r:embed="rId1078"/>
        <a:stretch>
          <a:fillRect/>
        </a:stretch>
      </xdr:blipFill>
      <xdr:spPr>
        <a:prstGeom prst="rect">
          <a:avLst/>
        </a:prstGeom>
        <a:ln w="9525">
          <a:solidFill>
            <a:srgbClr val="000000"/>
          </a:solidFill>
          <a:prstDash val="solid"/>
        </a:ln>
      </xdr:spPr>
    </xdr:pic>
    <xdr:clientData/>
  </xdr:twoCellAnchor>
  <xdr:twoCellAnchor>
    <xdr:from>
      <xdr:col>3</xdr:col>
      <xdr:colOff>114300</xdr:colOff>
      <xdr:row>2668</xdr:row>
      <xdr:rowOff>38100</xdr:rowOff>
    </xdr:from>
    <xdr:to>
      <xdr:col>3</xdr:col>
      <xdr:colOff>1552575</xdr:colOff>
      <xdr:row>2669</xdr:row>
      <xdr:rowOff>638175</xdr:rowOff>
    </xdr:to>
    <xdr:pic>
      <xdr:nvPicPr>
        <xdr:cNvPr id="1080" name="Имя " descr="Descr ">
          <a:extLst>
            <a:ext uri="{FF2B5EF4-FFF2-40B4-BE49-F238E27FC236}">
              <a16:creationId xmlns:a16="http://schemas.microsoft.com/office/drawing/2014/main" id="{00000000-0008-0000-0000-000038040000}"/>
            </a:ext>
          </a:extLst>
        </xdr:cNvPr>
        <xdr:cNvPicPr>
          <a:picLocks noChangeAspect="1"/>
        </xdr:cNvPicPr>
      </xdr:nvPicPr>
      <xdr:blipFill>
        <a:blip xmlns:r="http://schemas.openxmlformats.org/officeDocument/2006/relationships" r:embed="rId1079"/>
        <a:stretch>
          <a:fillRect/>
        </a:stretch>
      </xdr:blipFill>
      <xdr:spPr>
        <a:prstGeom prst="rect">
          <a:avLst/>
        </a:prstGeom>
        <a:ln w="9525">
          <a:solidFill>
            <a:srgbClr val="000000"/>
          </a:solidFill>
          <a:prstDash val="solid"/>
        </a:ln>
      </xdr:spPr>
    </xdr:pic>
    <xdr:clientData/>
  </xdr:twoCellAnchor>
  <xdr:twoCellAnchor>
    <xdr:from>
      <xdr:col>3</xdr:col>
      <xdr:colOff>114300</xdr:colOff>
      <xdr:row>2670</xdr:row>
      <xdr:rowOff>28575</xdr:rowOff>
    </xdr:from>
    <xdr:to>
      <xdr:col>3</xdr:col>
      <xdr:colOff>1552575</xdr:colOff>
      <xdr:row>2670</xdr:row>
      <xdr:rowOff>1266825</xdr:rowOff>
    </xdr:to>
    <xdr:pic>
      <xdr:nvPicPr>
        <xdr:cNvPr id="1081" name="Имя " descr="Descr ">
          <a:extLst>
            <a:ext uri="{FF2B5EF4-FFF2-40B4-BE49-F238E27FC236}">
              <a16:creationId xmlns:a16="http://schemas.microsoft.com/office/drawing/2014/main" id="{00000000-0008-0000-0000-000039040000}"/>
            </a:ext>
          </a:extLst>
        </xdr:cNvPr>
        <xdr:cNvPicPr>
          <a:picLocks noChangeAspect="1"/>
        </xdr:cNvPicPr>
      </xdr:nvPicPr>
      <xdr:blipFill>
        <a:blip xmlns:r="http://schemas.openxmlformats.org/officeDocument/2006/relationships" r:embed="rId1080"/>
        <a:stretch>
          <a:fillRect/>
        </a:stretch>
      </xdr:blipFill>
      <xdr:spPr>
        <a:prstGeom prst="rect">
          <a:avLst/>
        </a:prstGeom>
        <a:ln w="9525">
          <a:solidFill>
            <a:srgbClr val="000000"/>
          </a:solidFill>
          <a:prstDash val="solid"/>
        </a:ln>
      </xdr:spPr>
    </xdr:pic>
    <xdr:clientData/>
  </xdr:twoCellAnchor>
  <xdr:twoCellAnchor>
    <xdr:from>
      <xdr:col>3</xdr:col>
      <xdr:colOff>114300</xdr:colOff>
      <xdr:row>2671</xdr:row>
      <xdr:rowOff>38100</xdr:rowOff>
    </xdr:from>
    <xdr:to>
      <xdr:col>3</xdr:col>
      <xdr:colOff>1552575</xdr:colOff>
      <xdr:row>2672</xdr:row>
      <xdr:rowOff>638175</xdr:rowOff>
    </xdr:to>
    <xdr:pic>
      <xdr:nvPicPr>
        <xdr:cNvPr id="1082" name="Имя " descr="Descr ">
          <a:extLst>
            <a:ext uri="{FF2B5EF4-FFF2-40B4-BE49-F238E27FC236}">
              <a16:creationId xmlns:a16="http://schemas.microsoft.com/office/drawing/2014/main" id="{00000000-0008-0000-0000-00003A040000}"/>
            </a:ext>
          </a:extLst>
        </xdr:cNvPr>
        <xdr:cNvPicPr>
          <a:picLocks noChangeAspect="1"/>
        </xdr:cNvPicPr>
      </xdr:nvPicPr>
      <xdr:blipFill>
        <a:blip xmlns:r="http://schemas.openxmlformats.org/officeDocument/2006/relationships" r:embed="rId1081"/>
        <a:stretch>
          <a:fillRect/>
        </a:stretch>
      </xdr:blipFill>
      <xdr:spPr>
        <a:prstGeom prst="rect">
          <a:avLst/>
        </a:prstGeom>
        <a:ln w="9525">
          <a:solidFill>
            <a:srgbClr val="000000"/>
          </a:solidFill>
          <a:prstDash val="solid"/>
        </a:ln>
      </xdr:spPr>
    </xdr:pic>
    <xdr:clientData/>
  </xdr:twoCellAnchor>
  <xdr:twoCellAnchor>
    <xdr:from>
      <xdr:col>3</xdr:col>
      <xdr:colOff>114300</xdr:colOff>
      <xdr:row>2673</xdr:row>
      <xdr:rowOff>28575</xdr:rowOff>
    </xdr:from>
    <xdr:to>
      <xdr:col>3</xdr:col>
      <xdr:colOff>1552575</xdr:colOff>
      <xdr:row>2673</xdr:row>
      <xdr:rowOff>1266825</xdr:rowOff>
    </xdr:to>
    <xdr:pic>
      <xdr:nvPicPr>
        <xdr:cNvPr id="1083" name="Имя " descr="Descr ">
          <a:extLst>
            <a:ext uri="{FF2B5EF4-FFF2-40B4-BE49-F238E27FC236}">
              <a16:creationId xmlns:a16="http://schemas.microsoft.com/office/drawing/2014/main" id="{00000000-0008-0000-0000-00003B040000}"/>
            </a:ext>
          </a:extLst>
        </xdr:cNvPr>
        <xdr:cNvPicPr>
          <a:picLocks noChangeAspect="1"/>
        </xdr:cNvPicPr>
      </xdr:nvPicPr>
      <xdr:blipFill>
        <a:blip xmlns:r="http://schemas.openxmlformats.org/officeDocument/2006/relationships" r:embed="rId1082"/>
        <a:stretch>
          <a:fillRect/>
        </a:stretch>
      </xdr:blipFill>
      <xdr:spPr>
        <a:prstGeom prst="rect">
          <a:avLst/>
        </a:prstGeom>
        <a:ln w="9525">
          <a:solidFill>
            <a:srgbClr val="000000"/>
          </a:solidFill>
          <a:prstDash val="solid"/>
        </a:ln>
      </xdr:spPr>
    </xdr:pic>
    <xdr:clientData/>
  </xdr:twoCellAnchor>
  <xdr:twoCellAnchor>
    <xdr:from>
      <xdr:col>3</xdr:col>
      <xdr:colOff>114300</xdr:colOff>
      <xdr:row>2674</xdr:row>
      <xdr:rowOff>28575</xdr:rowOff>
    </xdr:from>
    <xdr:to>
      <xdr:col>3</xdr:col>
      <xdr:colOff>1552575</xdr:colOff>
      <xdr:row>2674</xdr:row>
      <xdr:rowOff>1266825</xdr:rowOff>
    </xdr:to>
    <xdr:pic>
      <xdr:nvPicPr>
        <xdr:cNvPr id="1084" name="Имя " descr="Descr ">
          <a:extLst>
            <a:ext uri="{FF2B5EF4-FFF2-40B4-BE49-F238E27FC236}">
              <a16:creationId xmlns:a16="http://schemas.microsoft.com/office/drawing/2014/main" id="{00000000-0008-0000-0000-00003C040000}"/>
            </a:ext>
          </a:extLst>
        </xdr:cNvPr>
        <xdr:cNvPicPr>
          <a:picLocks noChangeAspect="1"/>
        </xdr:cNvPicPr>
      </xdr:nvPicPr>
      <xdr:blipFill>
        <a:blip xmlns:r="http://schemas.openxmlformats.org/officeDocument/2006/relationships" r:embed="rId1083"/>
        <a:stretch>
          <a:fillRect/>
        </a:stretch>
      </xdr:blipFill>
      <xdr:spPr>
        <a:prstGeom prst="rect">
          <a:avLst/>
        </a:prstGeom>
        <a:ln w="9525">
          <a:solidFill>
            <a:srgbClr val="000000"/>
          </a:solidFill>
          <a:prstDash val="solid"/>
        </a:ln>
      </xdr:spPr>
    </xdr:pic>
    <xdr:clientData/>
  </xdr:twoCellAnchor>
  <xdr:twoCellAnchor>
    <xdr:from>
      <xdr:col>3</xdr:col>
      <xdr:colOff>114300</xdr:colOff>
      <xdr:row>2675</xdr:row>
      <xdr:rowOff>28575</xdr:rowOff>
    </xdr:from>
    <xdr:to>
      <xdr:col>3</xdr:col>
      <xdr:colOff>1552575</xdr:colOff>
      <xdr:row>2682</xdr:row>
      <xdr:rowOff>152400</xdr:rowOff>
    </xdr:to>
    <xdr:pic>
      <xdr:nvPicPr>
        <xdr:cNvPr id="1085" name="Имя " descr="Descr ">
          <a:extLst>
            <a:ext uri="{FF2B5EF4-FFF2-40B4-BE49-F238E27FC236}">
              <a16:creationId xmlns:a16="http://schemas.microsoft.com/office/drawing/2014/main" id="{00000000-0008-0000-0000-00003D040000}"/>
            </a:ext>
          </a:extLst>
        </xdr:cNvPr>
        <xdr:cNvPicPr>
          <a:picLocks noChangeAspect="1"/>
        </xdr:cNvPicPr>
      </xdr:nvPicPr>
      <xdr:blipFill>
        <a:blip xmlns:r="http://schemas.openxmlformats.org/officeDocument/2006/relationships" r:embed="rId1084"/>
        <a:stretch>
          <a:fillRect/>
        </a:stretch>
      </xdr:blipFill>
      <xdr:spPr>
        <a:prstGeom prst="rect">
          <a:avLst/>
        </a:prstGeom>
        <a:ln w="9525">
          <a:solidFill>
            <a:srgbClr val="000000"/>
          </a:solidFill>
          <a:prstDash val="solid"/>
        </a:ln>
      </xdr:spPr>
    </xdr:pic>
    <xdr:clientData/>
  </xdr:twoCellAnchor>
  <xdr:twoCellAnchor>
    <xdr:from>
      <xdr:col>3</xdr:col>
      <xdr:colOff>114300</xdr:colOff>
      <xdr:row>2683</xdr:row>
      <xdr:rowOff>28575</xdr:rowOff>
    </xdr:from>
    <xdr:to>
      <xdr:col>3</xdr:col>
      <xdr:colOff>1552575</xdr:colOff>
      <xdr:row>2683</xdr:row>
      <xdr:rowOff>1266825</xdr:rowOff>
    </xdr:to>
    <xdr:pic>
      <xdr:nvPicPr>
        <xdr:cNvPr id="1086" name="Имя " descr="Descr ">
          <a:extLst>
            <a:ext uri="{FF2B5EF4-FFF2-40B4-BE49-F238E27FC236}">
              <a16:creationId xmlns:a16="http://schemas.microsoft.com/office/drawing/2014/main" id="{00000000-0008-0000-0000-00003E040000}"/>
            </a:ext>
          </a:extLst>
        </xdr:cNvPr>
        <xdr:cNvPicPr>
          <a:picLocks noChangeAspect="1"/>
        </xdr:cNvPicPr>
      </xdr:nvPicPr>
      <xdr:blipFill>
        <a:blip xmlns:r="http://schemas.openxmlformats.org/officeDocument/2006/relationships" r:embed="rId1085"/>
        <a:stretch>
          <a:fillRect/>
        </a:stretch>
      </xdr:blipFill>
      <xdr:spPr>
        <a:prstGeom prst="rect">
          <a:avLst/>
        </a:prstGeom>
        <a:ln w="9525">
          <a:solidFill>
            <a:srgbClr val="000000"/>
          </a:solidFill>
          <a:prstDash val="solid"/>
        </a:ln>
      </xdr:spPr>
    </xdr:pic>
    <xdr:clientData/>
  </xdr:twoCellAnchor>
  <xdr:twoCellAnchor>
    <xdr:from>
      <xdr:col>3</xdr:col>
      <xdr:colOff>114300</xdr:colOff>
      <xdr:row>2684</xdr:row>
      <xdr:rowOff>28575</xdr:rowOff>
    </xdr:from>
    <xdr:to>
      <xdr:col>3</xdr:col>
      <xdr:colOff>1552575</xdr:colOff>
      <xdr:row>2684</xdr:row>
      <xdr:rowOff>1266825</xdr:rowOff>
    </xdr:to>
    <xdr:pic>
      <xdr:nvPicPr>
        <xdr:cNvPr id="1087" name="Имя " descr="Descr ">
          <a:extLst>
            <a:ext uri="{FF2B5EF4-FFF2-40B4-BE49-F238E27FC236}">
              <a16:creationId xmlns:a16="http://schemas.microsoft.com/office/drawing/2014/main" id="{00000000-0008-0000-0000-00003F040000}"/>
            </a:ext>
          </a:extLst>
        </xdr:cNvPr>
        <xdr:cNvPicPr>
          <a:picLocks noChangeAspect="1"/>
        </xdr:cNvPicPr>
      </xdr:nvPicPr>
      <xdr:blipFill>
        <a:blip xmlns:r="http://schemas.openxmlformats.org/officeDocument/2006/relationships" r:embed="rId1086"/>
        <a:stretch>
          <a:fillRect/>
        </a:stretch>
      </xdr:blipFill>
      <xdr:spPr>
        <a:prstGeom prst="rect">
          <a:avLst/>
        </a:prstGeom>
        <a:ln w="9525">
          <a:solidFill>
            <a:srgbClr val="000000"/>
          </a:solidFill>
          <a:prstDash val="solid"/>
        </a:ln>
      </xdr:spPr>
    </xdr:pic>
    <xdr:clientData/>
  </xdr:twoCellAnchor>
  <xdr:twoCellAnchor>
    <xdr:from>
      <xdr:col>3</xdr:col>
      <xdr:colOff>114300</xdr:colOff>
      <xdr:row>2685</xdr:row>
      <xdr:rowOff>28575</xdr:rowOff>
    </xdr:from>
    <xdr:to>
      <xdr:col>3</xdr:col>
      <xdr:colOff>1552575</xdr:colOff>
      <xdr:row>2687</xdr:row>
      <xdr:rowOff>419100</xdr:rowOff>
    </xdr:to>
    <xdr:pic>
      <xdr:nvPicPr>
        <xdr:cNvPr id="1088" name="Имя " descr="Descr ">
          <a:extLst>
            <a:ext uri="{FF2B5EF4-FFF2-40B4-BE49-F238E27FC236}">
              <a16:creationId xmlns:a16="http://schemas.microsoft.com/office/drawing/2014/main" id="{00000000-0008-0000-0000-000040040000}"/>
            </a:ext>
          </a:extLst>
        </xdr:cNvPr>
        <xdr:cNvPicPr>
          <a:picLocks noChangeAspect="1"/>
        </xdr:cNvPicPr>
      </xdr:nvPicPr>
      <xdr:blipFill>
        <a:blip xmlns:r="http://schemas.openxmlformats.org/officeDocument/2006/relationships" r:embed="rId1087"/>
        <a:stretch>
          <a:fillRect/>
        </a:stretch>
      </xdr:blipFill>
      <xdr:spPr>
        <a:prstGeom prst="rect">
          <a:avLst/>
        </a:prstGeom>
        <a:ln w="9525">
          <a:solidFill>
            <a:srgbClr val="000000"/>
          </a:solidFill>
          <a:prstDash val="solid"/>
        </a:ln>
      </xdr:spPr>
    </xdr:pic>
    <xdr:clientData/>
  </xdr:twoCellAnchor>
  <xdr:twoCellAnchor>
    <xdr:from>
      <xdr:col>3</xdr:col>
      <xdr:colOff>114300</xdr:colOff>
      <xdr:row>2688</xdr:row>
      <xdr:rowOff>38100</xdr:rowOff>
    </xdr:from>
    <xdr:to>
      <xdr:col>3</xdr:col>
      <xdr:colOff>1552575</xdr:colOff>
      <xdr:row>2689</xdr:row>
      <xdr:rowOff>638175</xdr:rowOff>
    </xdr:to>
    <xdr:pic>
      <xdr:nvPicPr>
        <xdr:cNvPr id="1089" name="Имя " descr="Descr ">
          <a:extLst>
            <a:ext uri="{FF2B5EF4-FFF2-40B4-BE49-F238E27FC236}">
              <a16:creationId xmlns:a16="http://schemas.microsoft.com/office/drawing/2014/main" id="{00000000-0008-0000-0000-000041040000}"/>
            </a:ext>
          </a:extLst>
        </xdr:cNvPr>
        <xdr:cNvPicPr>
          <a:picLocks noChangeAspect="1"/>
        </xdr:cNvPicPr>
      </xdr:nvPicPr>
      <xdr:blipFill>
        <a:blip xmlns:r="http://schemas.openxmlformats.org/officeDocument/2006/relationships" r:embed="rId1088"/>
        <a:stretch>
          <a:fillRect/>
        </a:stretch>
      </xdr:blipFill>
      <xdr:spPr>
        <a:prstGeom prst="rect">
          <a:avLst/>
        </a:prstGeom>
        <a:ln w="9525">
          <a:solidFill>
            <a:srgbClr val="000000"/>
          </a:solidFill>
          <a:prstDash val="solid"/>
        </a:ln>
      </xdr:spPr>
    </xdr:pic>
    <xdr:clientData/>
  </xdr:twoCellAnchor>
  <xdr:twoCellAnchor>
    <xdr:from>
      <xdr:col>3</xdr:col>
      <xdr:colOff>114300</xdr:colOff>
      <xdr:row>2690</xdr:row>
      <xdr:rowOff>28575</xdr:rowOff>
    </xdr:from>
    <xdr:to>
      <xdr:col>3</xdr:col>
      <xdr:colOff>1552575</xdr:colOff>
      <xdr:row>2690</xdr:row>
      <xdr:rowOff>1266825</xdr:rowOff>
    </xdr:to>
    <xdr:pic>
      <xdr:nvPicPr>
        <xdr:cNvPr id="1090" name="Имя " descr="Descr ">
          <a:extLst>
            <a:ext uri="{FF2B5EF4-FFF2-40B4-BE49-F238E27FC236}">
              <a16:creationId xmlns:a16="http://schemas.microsoft.com/office/drawing/2014/main" id="{00000000-0008-0000-0000-000042040000}"/>
            </a:ext>
          </a:extLst>
        </xdr:cNvPr>
        <xdr:cNvPicPr>
          <a:picLocks noChangeAspect="1"/>
        </xdr:cNvPicPr>
      </xdr:nvPicPr>
      <xdr:blipFill>
        <a:blip xmlns:r="http://schemas.openxmlformats.org/officeDocument/2006/relationships" r:embed="rId1089"/>
        <a:stretch>
          <a:fillRect/>
        </a:stretch>
      </xdr:blipFill>
      <xdr:spPr>
        <a:prstGeom prst="rect">
          <a:avLst/>
        </a:prstGeom>
        <a:ln w="9525">
          <a:solidFill>
            <a:srgbClr val="000000"/>
          </a:solidFill>
          <a:prstDash val="solid"/>
        </a:ln>
      </xdr:spPr>
    </xdr:pic>
    <xdr:clientData/>
  </xdr:twoCellAnchor>
  <xdr:twoCellAnchor>
    <xdr:from>
      <xdr:col>3</xdr:col>
      <xdr:colOff>114300</xdr:colOff>
      <xdr:row>2691</xdr:row>
      <xdr:rowOff>38100</xdr:rowOff>
    </xdr:from>
    <xdr:to>
      <xdr:col>3</xdr:col>
      <xdr:colOff>1552575</xdr:colOff>
      <xdr:row>2692</xdr:row>
      <xdr:rowOff>638175</xdr:rowOff>
    </xdr:to>
    <xdr:pic>
      <xdr:nvPicPr>
        <xdr:cNvPr id="1091" name="Имя " descr="Descr ">
          <a:extLst>
            <a:ext uri="{FF2B5EF4-FFF2-40B4-BE49-F238E27FC236}">
              <a16:creationId xmlns:a16="http://schemas.microsoft.com/office/drawing/2014/main" id="{00000000-0008-0000-0000-000043040000}"/>
            </a:ext>
          </a:extLst>
        </xdr:cNvPr>
        <xdr:cNvPicPr>
          <a:picLocks noChangeAspect="1"/>
        </xdr:cNvPicPr>
      </xdr:nvPicPr>
      <xdr:blipFill>
        <a:blip xmlns:r="http://schemas.openxmlformats.org/officeDocument/2006/relationships" r:embed="rId1090"/>
        <a:stretch>
          <a:fillRect/>
        </a:stretch>
      </xdr:blipFill>
      <xdr:spPr>
        <a:prstGeom prst="rect">
          <a:avLst/>
        </a:prstGeom>
        <a:ln w="9525">
          <a:solidFill>
            <a:srgbClr val="000000"/>
          </a:solidFill>
          <a:prstDash val="solid"/>
        </a:ln>
      </xdr:spPr>
    </xdr:pic>
    <xdr:clientData/>
  </xdr:twoCellAnchor>
  <xdr:twoCellAnchor>
    <xdr:from>
      <xdr:col>3</xdr:col>
      <xdr:colOff>114300</xdr:colOff>
      <xdr:row>2693</xdr:row>
      <xdr:rowOff>28575</xdr:rowOff>
    </xdr:from>
    <xdr:to>
      <xdr:col>3</xdr:col>
      <xdr:colOff>1552575</xdr:colOff>
      <xdr:row>2696</xdr:row>
      <xdr:rowOff>209550</xdr:rowOff>
    </xdr:to>
    <xdr:pic>
      <xdr:nvPicPr>
        <xdr:cNvPr id="1092" name="Имя " descr="Descr ">
          <a:extLst>
            <a:ext uri="{FF2B5EF4-FFF2-40B4-BE49-F238E27FC236}">
              <a16:creationId xmlns:a16="http://schemas.microsoft.com/office/drawing/2014/main" id="{00000000-0008-0000-0000-000044040000}"/>
            </a:ext>
          </a:extLst>
        </xdr:cNvPr>
        <xdr:cNvPicPr>
          <a:picLocks noChangeAspect="1"/>
        </xdr:cNvPicPr>
      </xdr:nvPicPr>
      <xdr:blipFill>
        <a:blip xmlns:r="http://schemas.openxmlformats.org/officeDocument/2006/relationships" r:embed="rId1091"/>
        <a:stretch>
          <a:fillRect/>
        </a:stretch>
      </xdr:blipFill>
      <xdr:spPr>
        <a:prstGeom prst="rect">
          <a:avLst/>
        </a:prstGeom>
        <a:ln w="9525">
          <a:solidFill>
            <a:srgbClr val="000000"/>
          </a:solidFill>
          <a:prstDash val="solid"/>
        </a:ln>
      </xdr:spPr>
    </xdr:pic>
    <xdr:clientData/>
  </xdr:twoCellAnchor>
  <xdr:twoCellAnchor>
    <xdr:from>
      <xdr:col>3</xdr:col>
      <xdr:colOff>114300</xdr:colOff>
      <xdr:row>2697</xdr:row>
      <xdr:rowOff>28575</xdr:rowOff>
    </xdr:from>
    <xdr:to>
      <xdr:col>3</xdr:col>
      <xdr:colOff>1552575</xdr:colOff>
      <xdr:row>2699</xdr:row>
      <xdr:rowOff>419100</xdr:rowOff>
    </xdr:to>
    <xdr:pic>
      <xdr:nvPicPr>
        <xdr:cNvPr id="1093" name="Имя " descr="Descr ">
          <a:extLst>
            <a:ext uri="{FF2B5EF4-FFF2-40B4-BE49-F238E27FC236}">
              <a16:creationId xmlns:a16="http://schemas.microsoft.com/office/drawing/2014/main" id="{00000000-0008-0000-0000-000045040000}"/>
            </a:ext>
          </a:extLst>
        </xdr:cNvPr>
        <xdr:cNvPicPr>
          <a:picLocks noChangeAspect="1"/>
        </xdr:cNvPicPr>
      </xdr:nvPicPr>
      <xdr:blipFill>
        <a:blip xmlns:r="http://schemas.openxmlformats.org/officeDocument/2006/relationships" r:embed="rId1092"/>
        <a:stretch>
          <a:fillRect/>
        </a:stretch>
      </xdr:blipFill>
      <xdr:spPr>
        <a:prstGeom prst="rect">
          <a:avLst/>
        </a:prstGeom>
        <a:ln w="9525">
          <a:solidFill>
            <a:srgbClr val="000000"/>
          </a:solidFill>
          <a:prstDash val="solid"/>
        </a:ln>
      </xdr:spPr>
    </xdr:pic>
    <xdr:clientData/>
  </xdr:twoCellAnchor>
  <xdr:twoCellAnchor>
    <xdr:from>
      <xdr:col>3</xdr:col>
      <xdr:colOff>114300</xdr:colOff>
      <xdr:row>2700</xdr:row>
      <xdr:rowOff>28575</xdr:rowOff>
    </xdr:from>
    <xdr:to>
      <xdr:col>3</xdr:col>
      <xdr:colOff>1552575</xdr:colOff>
      <xdr:row>2700</xdr:row>
      <xdr:rowOff>1266825</xdr:rowOff>
    </xdr:to>
    <xdr:pic>
      <xdr:nvPicPr>
        <xdr:cNvPr id="1094" name="Имя " descr="Descr ">
          <a:extLst>
            <a:ext uri="{FF2B5EF4-FFF2-40B4-BE49-F238E27FC236}">
              <a16:creationId xmlns:a16="http://schemas.microsoft.com/office/drawing/2014/main" id="{00000000-0008-0000-0000-000046040000}"/>
            </a:ext>
          </a:extLst>
        </xdr:cNvPr>
        <xdr:cNvPicPr>
          <a:picLocks noChangeAspect="1"/>
        </xdr:cNvPicPr>
      </xdr:nvPicPr>
      <xdr:blipFill>
        <a:blip xmlns:r="http://schemas.openxmlformats.org/officeDocument/2006/relationships" r:embed="rId1093"/>
        <a:stretch>
          <a:fillRect/>
        </a:stretch>
      </xdr:blipFill>
      <xdr:spPr>
        <a:prstGeom prst="rect">
          <a:avLst/>
        </a:prstGeom>
        <a:ln w="9525">
          <a:solidFill>
            <a:srgbClr val="000000"/>
          </a:solidFill>
          <a:prstDash val="solid"/>
        </a:ln>
      </xdr:spPr>
    </xdr:pic>
    <xdr:clientData/>
  </xdr:twoCellAnchor>
  <xdr:twoCellAnchor>
    <xdr:from>
      <xdr:col>3</xdr:col>
      <xdr:colOff>114300</xdr:colOff>
      <xdr:row>2701</xdr:row>
      <xdr:rowOff>28575</xdr:rowOff>
    </xdr:from>
    <xdr:to>
      <xdr:col>3</xdr:col>
      <xdr:colOff>1552575</xdr:colOff>
      <xdr:row>2704</xdr:row>
      <xdr:rowOff>209550</xdr:rowOff>
    </xdr:to>
    <xdr:pic>
      <xdr:nvPicPr>
        <xdr:cNvPr id="1095" name="Имя " descr="Descr ">
          <a:extLst>
            <a:ext uri="{FF2B5EF4-FFF2-40B4-BE49-F238E27FC236}">
              <a16:creationId xmlns:a16="http://schemas.microsoft.com/office/drawing/2014/main" id="{00000000-0008-0000-0000-000047040000}"/>
            </a:ext>
          </a:extLst>
        </xdr:cNvPr>
        <xdr:cNvPicPr>
          <a:picLocks noChangeAspect="1"/>
        </xdr:cNvPicPr>
      </xdr:nvPicPr>
      <xdr:blipFill>
        <a:blip xmlns:r="http://schemas.openxmlformats.org/officeDocument/2006/relationships" r:embed="rId1094"/>
        <a:stretch>
          <a:fillRect/>
        </a:stretch>
      </xdr:blipFill>
      <xdr:spPr>
        <a:prstGeom prst="rect">
          <a:avLst/>
        </a:prstGeom>
        <a:ln w="9525">
          <a:solidFill>
            <a:srgbClr val="000000"/>
          </a:solidFill>
          <a:prstDash val="solid"/>
        </a:ln>
      </xdr:spPr>
    </xdr:pic>
    <xdr:clientData/>
  </xdr:twoCellAnchor>
  <xdr:twoCellAnchor>
    <xdr:from>
      <xdr:col>3</xdr:col>
      <xdr:colOff>114300</xdr:colOff>
      <xdr:row>2705</xdr:row>
      <xdr:rowOff>28575</xdr:rowOff>
    </xdr:from>
    <xdr:to>
      <xdr:col>3</xdr:col>
      <xdr:colOff>1552575</xdr:colOff>
      <xdr:row>2705</xdr:row>
      <xdr:rowOff>1266825</xdr:rowOff>
    </xdr:to>
    <xdr:pic>
      <xdr:nvPicPr>
        <xdr:cNvPr id="1096" name="Имя " descr="Descr ">
          <a:extLst>
            <a:ext uri="{FF2B5EF4-FFF2-40B4-BE49-F238E27FC236}">
              <a16:creationId xmlns:a16="http://schemas.microsoft.com/office/drawing/2014/main" id="{00000000-0008-0000-0000-000048040000}"/>
            </a:ext>
          </a:extLst>
        </xdr:cNvPr>
        <xdr:cNvPicPr>
          <a:picLocks noChangeAspect="1"/>
        </xdr:cNvPicPr>
      </xdr:nvPicPr>
      <xdr:blipFill>
        <a:blip xmlns:r="http://schemas.openxmlformats.org/officeDocument/2006/relationships" r:embed="rId1095"/>
        <a:stretch>
          <a:fillRect/>
        </a:stretch>
      </xdr:blipFill>
      <xdr:spPr>
        <a:prstGeom prst="rect">
          <a:avLst/>
        </a:prstGeom>
        <a:ln w="9525">
          <a:solidFill>
            <a:srgbClr val="000000"/>
          </a:solidFill>
          <a:prstDash val="solid"/>
        </a:ln>
      </xdr:spPr>
    </xdr:pic>
    <xdr:clientData/>
  </xdr:twoCellAnchor>
  <xdr:twoCellAnchor>
    <xdr:from>
      <xdr:col>3</xdr:col>
      <xdr:colOff>114300</xdr:colOff>
      <xdr:row>2706</xdr:row>
      <xdr:rowOff>28575</xdr:rowOff>
    </xdr:from>
    <xdr:to>
      <xdr:col>3</xdr:col>
      <xdr:colOff>1552575</xdr:colOff>
      <xdr:row>2708</xdr:row>
      <xdr:rowOff>419100</xdr:rowOff>
    </xdr:to>
    <xdr:pic>
      <xdr:nvPicPr>
        <xdr:cNvPr id="1097" name="Имя " descr="Descr ">
          <a:extLst>
            <a:ext uri="{FF2B5EF4-FFF2-40B4-BE49-F238E27FC236}">
              <a16:creationId xmlns:a16="http://schemas.microsoft.com/office/drawing/2014/main" id="{00000000-0008-0000-0000-000049040000}"/>
            </a:ext>
          </a:extLst>
        </xdr:cNvPr>
        <xdr:cNvPicPr>
          <a:picLocks noChangeAspect="1"/>
        </xdr:cNvPicPr>
      </xdr:nvPicPr>
      <xdr:blipFill>
        <a:blip xmlns:r="http://schemas.openxmlformats.org/officeDocument/2006/relationships" r:embed="rId1096"/>
        <a:stretch>
          <a:fillRect/>
        </a:stretch>
      </xdr:blipFill>
      <xdr:spPr>
        <a:prstGeom prst="rect">
          <a:avLst/>
        </a:prstGeom>
        <a:ln w="9525">
          <a:solidFill>
            <a:srgbClr val="000000"/>
          </a:solidFill>
          <a:prstDash val="solid"/>
        </a:ln>
      </xdr:spPr>
    </xdr:pic>
    <xdr:clientData/>
  </xdr:twoCellAnchor>
  <xdr:twoCellAnchor>
    <xdr:from>
      <xdr:col>3</xdr:col>
      <xdr:colOff>114300</xdr:colOff>
      <xdr:row>2709</xdr:row>
      <xdr:rowOff>38100</xdr:rowOff>
    </xdr:from>
    <xdr:to>
      <xdr:col>3</xdr:col>
      <xdr:colOff>1552575</xdr:colOff>
      <xdr:row>2710</xdr:row>
      <xdr:rowOff>638175</xdr:rowOff>
    </xdr:to>
    <xdr:pic>
      <xdr:nvPicPr>
        <xdr:cNvPr id="1098" name="Имя " descr="Descr ">
          <a:extLst>
            <a:ext uri="{FF2B5EF4-FFF2-40B4-BE49-F238E27FC236}">
              <a16:creationId xmlns:a16="http://schemas.microsoft.com/office/drawing/2014/main" id="{00000000-0008-0000-0000-00004A040000}"/>
            </a:ext>
          </a:extLst>
        </xdr:cNvPr>
        <xdr:cNvPicPr>
          <a:picLocks noChangeAspect="1"/>
        </xdr:cNvPicPr>
      </xdr:nvPicPr>
      <xdr:blipFill>
        <a:blip xmlns:r="http://schemas.openxmlformats.org/officeDocument/2006/relationships" r:embed="rId1097"/>
        <a:stretch>
          <a:fillRect/>
        </a:stretch>
      </xdr:blipFill>
      <xdr:spPr>
        <a:prstGeom prst="rect">
          <a:avLst/>
        </a:prstGeom>
        <a:ln w="9525">
          <a:solidFill>
            <a:srgbClr val="000000"/>
          </a:solidFill>
          <a:prstDash val="solid"/>
        </a:ln>
      </xdr:spPr>
    </xdr:pic>
    <xdr:clientData/>
  </xdr:twoCellAnchor>
  <xdr:twoCellAnchor>
    <xdr:from>
      <xdr:col>3</xdr:col>
      <xdr:colOff>114300</xdr:colOff>
      <xdr:row>2711</xdr:row>
      <xdr:rowOff>28575</xdr:rowOff>
    </xdr:from>
    <xdr:to>
      <xdr:col>3</xdr:col>
      <xdr:colOff>1552575</xdr:colOff>
      <xdr:row>2711</xdr:row>
      <xdr:rowOff>1266825</xdr:rowOff>
    </xdr:to>
    <xdr:pic>
      <xdr:nvPicPr>
        <xdr:cNvPr id="1099" name="Имя " descr="Descr ">
          <a:extLst>
            <a:ext uri="{FF2B5EF4-FFF2-40B4-BE49-F238E27FC236}">
              <a16:creationId xmlns:a16="http://schemas.microsoft.com/office/drawing/2014/main" id="{00000000-0008-0000-0000-00004B040000}"/>
            </a:ext>
          </a:extLst>
        </xdr:cNvPr>
        <xdr:cNvPicPr>
          <a:picLocks noChangeAspect="1"/>
        </xdr:cNvPicPr>
      </xdr:nvPicPr>
      <xdr:blipFill>
        <a:blip xmlns:r="http://schemas.openxmlformats.org/officeDocument/2006/relationships" r:embed="rId1098"/>
        <a:stretch>
          <a:fillRect/>
        </a:stretch>
      </xdr:blipFill>
      <xdr:spPr>
        <a:prstGeom prst="rect">
          <a:avLst/>
        </a:prstGeom>
        <a:ln w="9525">
          <a:solidFill>
            <a:srgbClr val="000000"/>
          </a:solidFill>
          <a:prstDash val="solid"/>
        </a:ln>
      </xdr:spPr>
    </xdr:pic>
    <xdr:clientData/>
  </xdr:twoCellAnchor>
  <xdr:twoCellAnchor>
    <xdr:from>
      <xdr:col>3</xdr:col>
      <xdr:colOff>114300</xdr:colOff>
      <xdr:row>2712</xdr:row>
      <xdr:rowOff>38100</xdr:rowOff>
    </xdr:from>
    <xdr:to>
      <xdr:col>3</xdr:col>
      <xdr:colOff>1552575</xdr:colOff>
      <xdr:row>2713</xdr:row>
      <xdr:rowOff>638175</xdr:rowOff>
    </xdr:to>
    <xdr:pic>
      <xdr:nvPicPr>
        <xdr:cNvPr id="1100" name="Имя " descr="Descr ">
          <a:extLst>
            <a:ext uri="{FF2B5EF4-FFF2-40B4-BE49-F238E27FC236}">
              <a16:creationId xmlns:a16="http://schemas.microsoft.com/office/drawing/2014/main" id="{00000000-0008-0000-0000-00004C040000}"/>
            </a:ext>
          </a:extLst>
        </xdr:cNvPr>
        <xdr:cNvPicPr>
          <a:picLocks noChangeAspect="1"/>
        </xdr:cNvPicPr>
      </xdr:nvPicPr>
      <xdr:blipFill>
        <a:blip xmlns:r="http://schemas.openxmlformats.org/officeDocument/2006/relationships" r:embed="rId1099"/>
        <a:stretch>
          <a:fillRect/>
        </a:stretch>
      </xdr:blipFill>
      <xdr:spPr>
        <a:prstGeom prst="rect">
          <a:avLst/>
        </a:prstGeom>
        <a:ln w="9525">
          <a:solidFill>
            <a:srgbClr val="000000"/>
          </a:solidFill>
          <a:prstDash val="solid"/>
        </a:ln>
      </xdr:spPr>
    </xdr:pic>
    <xdr:clientData/>
  </xdr:twoCellAnchor>
  <xdr:twoCellAnchor>
    <xdr:from>
      <xdr:col>3</xdr:col>
      <xdr:colOff>114300</xdr:colOff>
      <xdr:row>2714</xdr:row>
      <xdr:rowOff>38100</xdr:rowOff>
    </xdr:from>
    <xdr:to>
      <xdr:col>3</xdr:col>
      <xdr:colOff>1552575</xdr:colOff>
      <xdr:row>2715</xdr:row>
      <xdr:rowOff>638175</xdr:rowOff>
    </xdr:to>
    <xdr:pic>
      <xdr:nvPicPr>
        <xdr:cNvPr id="1101" name="Имя " descr="Descr ">
          <a:extLst>
            <a:ext uri="{FF2B5EF4-FFF2-40B4-BE49-F238E27FC236}">
              <a16:creationId xmlns:a16="http://schemas.microsoft.com/office/drawing/2014/main" id="{00000000-0008-0000-0000-00004D040000}"/>
            </a:ext>
          </a:extLst>
        </xdr:cNvPr>
        <xdr:cNvPicPr>
          <a:picLocks noChangeAspect="1"/>
        </xdr:cNvPicPr>
      </xdr:nvPicPr>
      <xdr:blipFill>
        <a:blip xmlns:r="http://schemas.openxmlformats.org/officeDocument/2006/relationships" r:embed="rId1100"/>
        <a:stretch>
          <a:fillRect/>
        </a:stretch>
      </xdr:blipFill>
      <xdr:spPr>
        <a:prstGeom prst="rect">
          <a:avLst/>
        </a:prstGeom>
        <a:ln w="9525">
          <a:solidFill>
            <a:srgbClr val="000000"/>
          </a:solidFill>
          <a:prstDash val="solid"/>
        </a:ln>
      </xdr:spPr>
    </xdr:pic>
    <xdr:clientData/>
  </xdr:twoCellAnchor>
  <xdr:twoCellAnchor>
    <xdr:from>
      <xdr:col>3</xdr:col>
      <xdr:colOff>114300</xdr:colOff>
      <xdr:row>2716</xdr:row>
      <xdr:rowOff>28575</xdr:rowOff>
    </xdr:from>
    <xdr:to>
      <xdr:col>3</xdr:col>
      <xdr:colOff>1552575</xdr:colOff>
      <xdr:row>2718</xdr:row>
      <xdr:rowOff>419100</xdr:rowOff>
    </xdr:to>
    <xdr:pic>
      <xdr:nvPicPr>
        <xdr:cNvPr id="1102" name="Имя " descr="Descr ">
          <a:extLst>
            <a:ext uri="{FF2B5EF4-FFF2-40B4-BE49-F238E27FC236}">
              <a16:creationId xmlns:a16="http://schemas.microsoft.com/office/drawing/2014/main" id="{00000000-0008-0000-0000-00004E040000}"/>
            </a:ext>
          </a:extLst>
        </xdr:cNvPr>
        <xdr:cNvPicPr>
          <a:picLocks noChangeAspect="1"/>
        </xdr:cNvPicPr>
      </xdr:nvPicPr>
      <xdr:blipFill>
        <a:blip xmlns:r="http://schemas.openxmlformats.org/officeDocument/2006/relationships" r:embed="rId1101"/>
        <a:stretch>
          <a:fillRect/>
        </a:stretch>
      </xdr:blipFill>
      <xdr:spPr>
        <a:prstGeom prst="rect">
          <a:avLst/>
        </a:prstGeom>
        <a:ln w="9525">
          <a:solidFill>
            <a:srgbClr val="000000"/>
          </a:solidFill>
          <a:prstDash val="solid"/>
        </a:ln>
      </xdr:spPr>
    </xdr:pic>
    <xdr:clientData/>
  </xdr:twoCellAnchor>
  <xdr:twoCellAnchor>
    <xdr:from>
      <xdr:col>3</xdr:col>
      <xdr:colOff>114300</xdr:colOff>
      <xdr:row>2719</xdr:row>
      <xdr:rowOff>38100</xdr:rowOff>
    </xdr:from>
    <xdr:to>
      <xdr:col>3</xdr:col>
      <xdr:colOff>1552575</xdr:colOff>
      <xdr:row>2720</xdr:row>
      <xdr:rowOff>638175</xdr:rowOff>
    </xdr:to>
    <xdr:pic>
      <xdr:nvPicPr>
        <xdr:cNvPr id="1103" name="Имя " descr="Descr ">
          <a:extLst>
            <a:ext uri="{FF2B5EF4-FFF2-40B4-BE49-F238E27FC236}">
              <a16:creationId xmlns:a16="http://schemas.microsoft.com/office/drawing/2014/main" id="{00000000-0008-0000-0000-00004F040000}"/>
            </a:ext>
          </a:extLst>
        </xdr:cNvPr>
        <xdr:cNvPicPr>
          <a:picLocks noChangeAspect="1"/>
        </xdr:cNvPicPr>
      </xdr:nvPicPr>
      <xdr:blipFill>
        <a:blip xmlns:r="http://schemas.openxmlformats.org/officeDocument/2006/relationships" r:embed="rId1102"/>
        <a:stretch>
          <a:fillRect/>
        </a:stretch>
      </xdr:blipFill>
      <xdr:spPr>
        <a:prstGeom prst="rect">
          <a:avLst/>
        </a:prstGeom>
        <a:ln w="9525">
          <a:solidFill>
            <a:srgbClr val="000000"/>
          </a:solidFill>
          <a:prstDash val="solid"/>
        </a:ln>
      </xdr:spPr>
    </xdr:pic>
    <xdr:clientData/>
  </xdr:twoCellAnchor>
  <xdr:twoCellAnchor>
    <xdr:from>
      <xdr:col>3</xdr:col>
      <xdr:colOff>114300</xdr:colOff>
      <xdr:row>2721</xdr:row>
      <xdr:rowOff>38100</xdr:rowOff>
    </xdr:from>
    <xdr:to>
      <xdr:col>3</xdr:col>
      <xdr:colOff>1552575</xdr:colOff>
      <xdr:row>2722</xdr:row>
      <xdr:rowOff>638175</xdr:rowOff>
    </xdr:to>
    <xdr:pic>
      <xdr:nvPicPr>
        <xdr:cNvPr id="1104" name="Имя " descr="Descr ">
          <a:extLst>
            <a:ext uri="{FF2B5EF4-FFF2-40B4-BE49-F238E27FC236}">
              <a16:creationId xmlns:a16="http://schemas.microsoft.com/office/drawing/2014/main" id="{00000000-0008-0000-0000-000050040000}"/>
            </a:ext>
          </a:extLst>
        </xdr:cNvPr>
        <xdr:cNvPicPr>
          <a:picLocks noChangeAspect="1"/>
        </xdr:cNvPicPr>
      </xdr:nvPicPr>
      <xdr:blipFill>
        <a:blip xmlns:r="http://schemas.openxmlformats.org/officeDocument/2006/relationships" r:embed="rId1103"/>
        <a:stretch>
          <a:fillRect/>
        </a:stretch>
      </xdr:blipFill>
      <xdr:spPr>
        <a:prstGeom prst="rect">
          <a:avLst/>
        </a:prstGeom>
        <a:ln w="9525">
          <a:solidFill>
            <a:srgbClr val="000000"/>
          </a:solidFill>
          <a:prstDash val="solid"/>
        </a:ln>
      </xdr:spPr>
    </xdr:pic>
    <xdr:clientData/>
  </xdr:twoCellAnchor>
  <xdr:twoCellAnchor>
    <xdr:from>
      <xdr:col>3</xdr:col>
      <xdr:colOff>114300</xdr:colOff>
      <xdr:row>2723</xdr:row>
      <xdr:rowOff>28575</xdr:rowOff>
    </xdr:from>
    <xdr:to>
      <xdr:col>3</xdr:col>
      <xdr:colOff>1552575</xdr:colOff>
      <xdr:row>2723</xdr:row>
      <xdr:rowOff>1266825</xdr:rowOff>
    </xdr:to>
    <xdr:pic>
      <xdr:nvPicPr>
        <xdr:cNvPr id="1105" name="Имя " descr="Descr ">
          <a:extLst>
            <a:ext uri="{FF2B5EF4-FFF2-40B4-BE49-F238E27FC236}">
              <a16:creationId xmlns:a16="http://schemas.microsoft.com/office/drawing/2014/main" id="{00000000-0008-0000-0000-000051040000}"/>
            </a:ext>
          </a:extLst>
        </xdr:cNvPr>
        <xdr:cNvPicPr>
          <a:picLocks noChangeAspect="1"/>
        </xdr:cNvPicPr>
      </xdr:nvPicPr>
      <xdr:blipFill>
        <a:blip xmlns:r="http://schemas.openxmlformats.org/officeDocument/2006/relationships" r:embed="rId1104"/>
        <a:stretch>
          <a:fillRect/>
        </a:stretch>
      </xdr:blipFill>
      <xdr:spPr>
        <a:prstGeom prst="rect">
          <a:avLst/>
        </a:prstGeom>
        <a:ln w="9525">
          <a:solidFill>
            <a:srgbClr val="000000"/>
          </a:solidFill>
          <a:prstDash val="solid"/>
        </a:ln>
      </xdr:spPr>
    </xdr:pic>
    <xdr:clientData/>
  </xdr:twoCellAnchor>
  <xdr:twoCellAnchor>
    <xdr:from>
      <xdr:col>3</xdr:col>
      <xdr:colOff>114300</xdr:colOff>
      <xdr:row>2724</xdr:row>
      <xdr:rowOff>38100</xdr:rowOff>
    </xdr:from>
    <xdr:to>
      <xdr:col>3</xdr:col>
      <xdr:colOff>1552575</xdr:colOff>
      <xdr:row>2725</xdr:row>
      <xdr:rowOff>638175</xdr:rowOff>
    </xdr:to>
    <xdr:pic>
      <xdr:nvPicPr>
        <xdr:cNvPr id="1106" name="Имя " descr="Descr ">
          <a:extLst>
            <a:ext uri="{FF2B5EF4-FFF2-40B4-BE49-F238E27FC236}">
              <a16:creationId xmlns:a16="http://schemas.microsoft.com/office/drawing/2014/main" id="{00000000-0008-0000-0000-000052040000}"/>
            </a:ext>
          </a:extLst>
        </xdr:cNvPr>
        <xdr:cNvPicPr>
          <a:picLocks noChangeAspect="1"/>
        </xdr:cNvPicPr>
      </xdr:nvPicPr>
      <xdr:blipFill>
        <a:blip xmlns:r="http://schemas.openxmlformats.org/officeDocument/2006/relationships" r:embed="rId1105"/>
        <a:stretch>
          <a:fillRect/>
        </a:stretch>
      </xdr:blipFill>
      <xdr:spPr>
        <a:prstGeom prst="rect">
          <a:avLst/>
        </a:prstGeom>
        <a:ln w="9525">
          <a:solidFill>
            <a:srgbClr val="000000"/>
          </a:solidFill>
          <a:prstDash val="solid"/>
        </a:ln>
      </xdr:spPr>
    </xdr:pic>
    <xdr:clientData/>
  </xdr:twoCellAnchor>
  <xdr:twoCellAnchor>
    <xdr:from>
      <xdr:col>3</xdr:col>
      <xdr:colOff>114300</xdr:colOff>
      <xdr:row>2726</xdr:row>
      <xdr:rowOff>28575</xdr:rowOff>
    </xdr:from>
    <xdr:to>
      <xdr:col>3</xdr:col>
      <xdr:colOff>1552575</xdr:colOff>
      <xdr:row>2726</xdr:row>
      <xdr:rowOff>1266825</xdr:rowOff>
    </xdr:to>
    <xdr:pic>
      <xdr:nvPicPr>
        <xdr:cNvPr id="1107" name="Имя " descr="Descr ">
          <a:extLst>
            <a:ext uri="{FF2B5EF4-FFF2-40B4-BE49-F238E27FC236}">
              <a16:creationId xmlns:a16="http://schemas.microsoft.com/office/drawing/2014/main" id="{00000000-0008-0000-0000-000053040000}"/>
            </a:ext>
          </a:extLst>
        </xdr:cNvPr>
        <xdr:cNvPicPr>
          <a:picLocks noChangeAspect="1"/>
        </xdr:cNvPicPr>
      </xdr:nvPicPr>
      <xdr:blipFill>
        <a:blip xmlns:r="http://schemas.openxmlformats.org/officeDocument/2006/relationships" r:embed="rId1106"/>
        <a:stretch>
          <a:fillRect/>
        </a:stretch>
      </xdr:blipFill>
      <xdr:spPr>
        <a:prstGeom prst="rect">
          <a:avLst/>
        </a:prstGeom>
        <a:ln w="9525">
          <a:solidFill>
            <a:srgbClr val="000000"/>
          </a:solidFill>
          <a:prstDash val="solid"/>
        </a:ln>
      </xdr:spPr>
    </xdr:pic>
    <xdr:clientData/>
  </xdr:twoCellAnchor>
  <xdr:twoCellAnchor>
    <xdr:from>
      <xdr:col>3</xdr:col>
      <xdr:colOff>114300</xdr:colOff>
      <xdr:row>2727</xdr:row>
      <xdr:rowOff>28575</xdr:rowOff>
    </xdr:from>
    <xdr:to>
      <xdr:col>3</xdr:col>
      <xdr:colOff>1552575</xdr:colOff>
      <xdr:row>2727</xdr:row>
      <xdr:rowOff>1266825</xdr:rowOff>
    </xdr:to>
    <xdr:pic>
      <xdr:nvPicPr>
        <xdr:cNvPr id="1108" name="Имя " descr="Descr ">
          <a:extLst>
            <a:ext uri="{FF2B5EF4-FFF2-40B4-BE49-F238E27FC236}">
              <a16:creationId xmlns:a16="http://schemas.microsoft.com/office/drawing/2014/main" id="{00000000-0008-0000-0000-000054040000}"/>
            </a:ext>
          </a:extLst>
        </xdr:cNvPr>
        <xdr:cNvPicPr>
          <a:picLocks noChangeAspect="1"/>
        </xdr:cNvPicPr>
      </xdr:nvPicPr>
      <xdr:blipFill>
        <a:blip xmlns:r="http://schemas.openxmlformats.org/officeDocument/2006/relationships" r:embed="rId1107"/>
        <a:stretch>
          <a:fillRect/>
        </a:stretch>
      </xdr:blipFill>
      <xdr:spPr>
        <a:prstGeom prst="rect">
          <a:avLst/>
        </a:prstGeom>
        <a:ln w="9525">
          <a:solidFill>
            <a:srgbClr val="000000"/>
          </a:solidFill>
          <a:prstDash val="solid"/>
        </a:ln>
      </xdr:spPr>
    </xdr:pic>
    <xdr:clientData/>
  </xdr:twoCellAnchor>
  <xdr:twoCellAnchor>
    <xdr:from>
      <xdr:col>3</xdr:col>
      <xdr:colOff>114300</xdr:colOff>
      <xdr:row>2728</xdr:row>
      <xdr:rowOff>38100</xdr:rowOff>
    </xdr:from>
    <xdr:to>
      <xdr:col>3</xdr:col>
      <xdr:colOff>1552575</xdr:colOff>
      <xdr:row>2729</xdr:row>
      <xdr:rowOff>638175</xdr:rowOff>
    </xdr:to>
    <xdr:pic>
      <xdr:nvPicPr>
        <xdr:cNvPr id="1109" name="Имя " descr="Descr ">
          <a:extLst>
            <a:ext uri="{FF2B5EF4-FFF2-40B4-BE49-F238E27FC236}">
              <a16:creationId xmlns:a16="http://schemas.microsoft.com/office/drawing/2014/main" id="{00000000-0008-0000-0000-000055040000}"/>
            </a:ext>
          </a:extLst>
        </xdr:cNvPr>
        <xdr:cNvPicPr>
          <a:picLocks noChangeAspect="1"/>
        </xdr:cNvPicPr>
      </xdr:nvPicPr>
      <xdr:blipFill>
        <a:blip xmlns:r="http://schemas.openxmlformats.org/officeDocument/2006/relationships" r:embed="rId1108"/>
        <a:stretch>
          <a:fillRect/>
        </a:stretch>
      </xdr:blipFill>
      <xdr:spPr>
        <a:prstGeom prst="rect">
          <a:avLst/>
        </a:prstGeom>
        <a:ln w="9525">
          <a:solidFill>
            <a:srgbClr val="000000"/>
          </a:solidFill>
          <a:prstDash val="solid"/>
        </a:ln>
      </xdr:spPr>
    </xdr:pic>
    <xdr:clientData/>
  </xdr:twoCellAnchor>
  <xdr:twoCellAnchor>
    <xdr:from>
      <xdr:col>3</xdr:col>
      <xdr:colOff>114300</xdr:colOff>
      <xdr:row>2730</xdr:row>
      <xdr:rowOff>28575</xdr:rowOff>
    </xdr:from>
    <xdr:to>
      <xdr:col>3</xdr:col>
      <xdr:colOff>1552575</xdr:colOff>
      <xdr:row>2733</xdr:row>
      <xdr:rowOff>209550</xdr:rowOff>
    </xdr:to>
    <xdr:pic>
      <xdr:nvPicPr>
        <xdr:cNvPr id="1110" name="Имя " descr="Descr ">
          <a:extLst>
            <a:ext uri="{FF2B5EF4-FFF2-40B4-BE49-F238E27FC236}">
              <a16:creationId xmlns:a16="http://schemas.microsoft.com/office/drawing/2014/main" id="{00000000-0008-0000-0000-000056040000}"/>
            </a:ext>
          </a:extLst>
        </xdr:cNvPr>
        <xdr:cNvPicPr>
          <a:picLocks noChangeAspect="1"/>
        </xdr:cNvPicPr>
      </xdr:nvPicPr>
      <xdr:blipFill>
        <a:blip xmlns:r="http://schemas.openxmlformats.org/officeDocument/2006/relationships" r:embed="rId1109"/>
        <a:stretch>
          <a:fillRect/>
        </a:stretch>
      </xdr:blipFill>
      <xdr:spPr>
        <a:prstGeom prst="rect">
          <a:avLst/>
        </a:prstGeom>
        <a:ln w="9525">
          <a:solidFill>
            <a:srgbClr val="000000"/>
          </a:solidFill>
          <a:prstDash val="solid"/>
        </a:ln>
      </xdr:spPr>
    </xdr:pic>
    <xdr:clientData/>
  </xdr:twoCellAnchor>
  <xdr:twoCellAnchor>
    <xdr:from>
      <xdr:col>3</xdr:col>
      <xdr:colOff>114300</xdr:colOff>
      <xdr:row>2734</xdr:row>
      <xdr:rowOff>28575</xdr:rowOff>
    </xdr:from>
    <xdr:to>
      <xdr:col>3</xdr:col>
      <xdr:colOff>1552575</xdr:colOff>
      <xdr:row>2737</xdr:row>
      <xdr:rowOff>209550</xdr:rowOff>
    </xdr:to>
    <xdr:pic>
      <xdr:nvPicPr>
        <xdr:cNvPr id="1111" name="Имя " descr="Descr ">
          <a:extLst>
            <a:ext uri="{FF2B5EF4-FFF2-40B4-BE49-F238E27FC236}">
              <a16:creationId xmlns:a16="http://schemas.microsoft.com/office/drawing/2014/main" id="{00000000-0008-0000-0000-000057040000}"/>
            </a:ext>
          </a:extLst>
        </xdr:cNvPr>
        <xdr:cNvPicPr>
          <a:picLocks noChangeAspect="1"/>
        </xdr:cNvPicPr>
      </xdr:nvPicPr>
      <xdr:blipFill>
        <a:blip xmlns:r="http://schemas.openxmlformats.org/officeDocument/2006/relationships" r:embed="rId1110"/>
        <a:stretch>
          <a:fillRect/>
        </a:stretch>
      </xdr:blipFill>
      <xdr:spPr>
        <a:prstGeom prst="rect">
          <a:avLst/>
        </a:prstGeom>
        <a:ln w="9525">
          <a:solidFill>
            <a:srgbClr val="000000"/>
          </a:solidFill>
          <a:prstDash val="solid"/>
        </a:ln>
      </xdr:spPr>
    </xdr:pic>
    <xdr:clientData/>
  </xdr:twoCellAnchor>
  <xdr:twoCellAnchor>
    <xdr:from>
      <xdr:col>3</xdr:col>
      <xdr:colOff>114300</xdr:colOff>
      <xdr:row>2738</xdr:row>
      <xdr:rowOff>38100</xdr:rowOff>
    </xdr:from>
    <xdr:to>
      <xdr:col>3</xdr:col>
      <xdr:colOff>1552575</xdr:colOff>
      <xdr:row>2739</xdr:row>
      <xdr:rowOff>638175</xdr:rowOff>
    </xdr:to>
    <xdr:pic>
      <xdr:nvPicPr>
        <xdr:cNvPr id="1112" name="Имя " descr="Descr ">
          <a:extLst>
            <a:ext uri="{FF2B5EF4-FFF2-40B4-BE49-F238E27FC236}">
              <a16:creationId xmlns:a16="http://schemas.microsoft.com/office/drawing/2014/main" id="{00000000-0008-0000-0000-000058040000}"/>
            </a:ext>
          </a:extLst>
        </xdr:cNvPr>
        <xdr:cNvPicPr>
          <a:picLocks noChangeAspect="1"/>
        </xdr:cNvPicPr>
      </xdr:nvPicPr>
      <xdr:blipFill>
        <a:blip xmlns:r="http://schemas.openxmlformats.org/officeDocument/2006/relationships" r:embed="rId1111"/>
        <a:stretch>
          <a:fillRect/>
        </a:stretch>
      </xdr:blipFill>
      <xdr:spPr>
        <a:prstGeom prst="rect">
          <a:avLst/>
        </a:prstGeom>
        <a:ln w="9525">
          <a:solidFill>
            <a:srgbClr val="000000"/>
          </a:solidFill>
          <a:prstDash val="solid"/>
        </a:ln>
      </xdr:spPr>
    </xdr:pic>
    <xdr:clientData/>
  </xdr:twoCellAnchor>
  <xdr:twoCellAnchor>
    <xdr:from>
      <xdr:col>3</xdr:col>
      <xdr:colOff>114300</xdr:colOff>
      <xdr:row>2740</xdr:row>
      <xdr:rowOff>38100</xdr:rowOff>
    </xdr:from>
    <xdr:to>
      <xdr:col>3</xdr:col>
      <xdr:colOff>1552575</xdr:colOff>
      <xdr:row>2741</xdr:row>
      <xdr:rowOff>638175</xdr:rowOff>
    </xdr:to>
    <xdr:pic>
      <xdr:nvPicPr>
        <xdr:cNvPr id="1113" name="Имя " descr="Descr ">
          <a:extLst>
            <a:ext uri="{FF2B5EF4-FFF2-40B4-BE49-F238E27FC236}">
              <a16:creationId xmlns:a16="http://schemas.microsoft.com/office/drawing/2014/main" id="{00000000-0008-0000-0000-000059040000}"/>
            </a:ext>
          </a:extLst>
        </xdr:cNvPr>
        <xdr:cNvPicPr>
          <a:picLocks noChangeAspect="1"/>
        </xdr:cNvPicPr>
      </xdr:nvPicPr>
      <xdr:blipFill>
        <a:blip xmlns:r="http://schemas.openxmlformats.org/officeDocument/2006/relationships" r:embed="rId1112"/>
        <a:stretch>
          <a:fillRect/>
        </a:stretch>
      </xdr:blipFill>
      <xdr:spPr>
        <a:prstGeom prst="rect">
          <a:avLst/>
        </a:prstGeom>
        <a:ln w="9525">
          <a:solidFill>
            <a:srgbClr val="000000"/>
          </a:solidFill>
          <a:prstDash val="solid"/>
        </a:ln>
      </xdr:spPr>
    </xdr:pic>
    <xdr:clientData/>
  </xdr:twoCellAnchor>
  <xdr:twoCellAnchor>
    <xdr:from>
      <xdr:col>3</xdr:col>
      <xdr:colOff>114300</xdr:colOff>
      <xdr:row>2742</xdr:row>
      <xdr:rowOff>28575</xdr:rowOff>
    </xdr:from>
    <xdr:to>
      <xdr:col>3</xdr:col>
      <xdr:colOff>1552575</xdr:colOff>
      <xdr:row>2742</xdr:row>
      <xdr:rowOff>1266825</xdr:rowOff>
    </xdr:to>
    <xdr:pic>
      <xdr:nvPicPr>
        <xdr:cNvPr id="1114" name="Имя " descr="Descr ">
          <a:extLst>
            <a:ext uri="{FF2B5EF4-FFF2-40B4-BE49-F238E27FC236}">
              <a16:creationId xmlns:a16="http://schemas.microsoft.com/office/drawing/2014/main" id="{00000000-0008-0000-0000-00005A040000}"/>
            </a:ext>
          </a:extLst>
        </xdr:cNvPr>
        <xdr:cNvPicPr>
          <a:picLocks noChangeAspect="1"/>
        </xdr:cNvPicPr>
      </xdr:nvPicPr>
      <xdr:blipFill>
        <a:blip xmlns:r="http://schemas.openxmlformats.org/officeDocument/2006/relationships" r:embed="rId1113"/>
        <a:stretch>
          <a:fillRect/>
        </a:stretch>
      </xdr:blipFill>
      <xdr:spPr>
        <a:prstGeom prst="rect">
          <a:avLst/>
        </a:prstGeom>
        <a:ln w="9525">
          <a:solidFill>
            <a:srgbClr val="000000"/>
          </a:solidFill>
          <a:prstDash val="solid"/>
        </a:ln>
      </xdr:spPr>
    </xdr:pic>
    <xdr:clientData/>
  </xdr:twoCellAnchor>
  <xdr:twoCellAnchor>
    <xdr:from>
      <xdr:col>3</xdr:col>
      <xdr:colOff>114300</xdr:colOff>
      <xdr:row>2743</xdr:row>
      <xdr:rowOff>28575</xdr:rowOff>
    </xdr:from>
    <xdr:to>
      <xdr:col>3</xdr:col>
      <xdr:colOff>1552575</xdr:colOff>
      <xdr:row>2745</xdr:row>
      <xdr:rowOff>419100</xdr:rowOff>
    </xdr:to>
    <xdr:pic>
      <xdr:nvPicPr>
        <xdr:cNvPr id="1115" name="Имя " descr="Descr ">
          <a:extLst>
            <a:ext uri="{FF2B5EF4-FFF2-40B4-BE49-F238E27FC236}">
              <a16:creationId xmlns:a16="http://schemas.microsoft.com/office/drawing/2014/main" id="{00000000-0008-0000-0000-00005B040000}"/>
            </a:ext>
          </a:extLst>
        </xdr:cNvPr>
        <xdr:cNvPicPr>
          <a:picLocks noChangeAspect="1"/>
        </xdr:cNvPicPr>
      </xdr:nvPicPr>
      <xdr:blipFill>
        <a:blip xmlns:r="http://schemas.openxmlformats.org/officeDocument/2006/relationships" r:embed="rId1114"/>
        <a:stretch>
          <a:fillRect/>
        </a:stretch>
      </xdr:blipFill>
      <xdr:spPr>
        <a:prstGeom prst="rect">
          <a:avLst/>
        </a:prstGeom>
        <a:ln w="9525">
          <a:solidFill>
            <a:srgbClr val="000000"/>
          </a:solidFill>
          <a:prstDash val="solid"/>
        </a:ln>
      </xdr:spPr>
    </xdr:pic>
    <xdr:clientData/>
  </xdr:twoCellAnchor>
  <xdr:twoCellAnchor>
    <xdr:from>
      <xdr:col>3</xdr:col>
      <xdr:colOff>114300</xdr:colOff>
      <xdr:row>2746</xdr:row>
      <xdr:rowOff>28575</xdr:rowOff>
    </xdr:from>
    <xdr:to>
      <xdr:col>3</xdr:col>
      <xdr:colOff>1552575</xdr:colOff>
      <xdr:row>2748</xdr:row>
      <xdr:rowOff>419100</xdr:rowOff>
    </xdr:to>
    <xdr:pic>
      <xdr:nvPicPr>
        <xdr:cNvPr id="1116" name="Имя " descr="Descr ">
          <a:extLst>
            <a:ext uri="{FF2B5EF4-FFF2-40B4-BE49-F238E27FC236}">
              <a16:creationId xmlns:a16="http://schemas.microsoft.com/office/drawing/2014/main" id="{00000000-0008-0000-0000-00005C040000}"/>
            </a:ext>
          </a:extLst>
        </xdr:cNvPr>
        <xdr:cNvPicPr>
          <a:picLocks noChangeAspect="1"/>
        </xdr:cNvPicPr>
      </xdr:nvPicPr>
      <xdr:blipFill>
        <a:blip xmlns:r="http://schemas.openxmlformats.org/officeDocument/2006/relationships" r:embed="rId1115"/>
        <a:stretch>
          <a:fillRect/>
        </a:stretch>
      </xdr:blipFill>
      <xdr:spPr>
        <a:prstGeom prst="rect">
          <a:avLst/>
        </a:prstGeom>
        <a:ln w="9525">
          <a:solidFill>
            <a:srgbClr val="000000"/>
          </a:solidFill>
          <a:prstDash val="solid"/>
        </a:ln>
      </xdr:spPr>
    </xdr:pic>
    <xdr:clientData/>
  </xdr:twoCellAnchor>
  <xdr:twoCellAnchor>
    <xdr:from>
      <xdr:col>3</xdr:col>
      <xdr:colOff>114300</xdr:colOff>
      <xdr:row>2749</xdr:row>
      <xdr:rowOff>28575</xdr:rowOff>
    </xdr:from>
    <xdr:to>
      <xdr:col>3</xdr:col>
      <xdr:colOff>1552575</xdr:colOff>
      <xdr:row>2749</xdr:row>
      <xdr:rowOff>1266825</xdr:rowOff>
    </xdr:to>
    <xdr:pic>
      <xdr:nvPicPr>
        <xdr:cNvPr id="1117" name="Имя " descr="Descr ">
          <a:extLst>
            <a:ext uri="{FF2B5EF4-FFF2-40B4-BE49-F238E27FC236}">
              <a16:creationId xmlns:a16="http://schemas.microsoft.com/office/drawing/2014/main" id="{00000000-0008-0000-0000-00005D040000}"/>
            </a:ext>
          </a:extLst>
        </xdr:cNvPr>
        <xdr:cNvPicPr>
          <a:picLocks noChangeAspect="1"/>
        </xdr:cNvPicPr>
      </xdr:nvPicPr>
      <xdr:blipFill>
        <a:blip xmlns:r="http://schemas.openxmlformats.org/officeDocument/2006/relationships" r:embed="rId1116"/>
        <a:stretch>
          <a:fillRect/>
        </a:stretch>
      </xdr:blipFill>
      <xdr:spPr>
        <a:prstGeom prst="rect">
          <a:avLst/>
        </a:prstGeom>
        <a:ln w="9525">
          <a:solidFill>
            <a:srgbClr val="000000"/>
          </a:solidFill>
          <a:prstDash val="solid"/>
        </a:ln>
      </xdr:spPr>
    </xdr:pic>
    <xdr:clientData/>
  </xdr:twoCellAnchor>
  <xdr:twoCellAnchor>
    <xdr:from>
      <xdr:col>3</xdr:col>
      <xdr:colOff>114300</xdr:colOff>
      <xdr:row>2750</xdr:row>
      <xdr:rowOff>28575</xdr:rowOff>
    </xdr:from>
    <xdr:to>
      <xdr:col>3</xdr:col>
      <xdr:colOff>1552575</xdr:colOff>
      <xdr:row>2752</xdr:row>
      <xdr:rowOff>419100</xdr:rowOff>
    </xdr:to>
    <xdr:pic>
      <xdr:nvPicPr>
        <xdr:cNvPr id="1118" name="Имя " descr="Descr ">
          <a:extLst>
            <a:ext uri="{FF2B5EF4-FFF2-40B4-BE49-F238E27FC236}">
              <a16:creationId xmlns:a16="http://schemas.microsoft.com/office/drawing/2014/main" id="{00000000-0008-0000-0000-00005E040000}"/>
            </a:ext>
          </a:extLst>
        </xdr:cNvPr>
        <xdr:cNvPicPr>
          <a:picLocks noChangeAspect="1"/>
        </xdr:cNvPicPr>
      </xdr:nvPicPr>
      <xdr:blipFill>
        <a:blip xmlns:r="http://schemas.openxmlformats.org/officeDocument/2006/relationships" r:embed="rId1117"/>
        <a:stretch>
          <a:fillRect/>
        </a:stretch>
      </xdr:blipFill>
      <xdr:spPr>
        <a:prstGeom prst="rect">
          <a:avLst/>
        </a:prstGeom>
        <a:ln w="9525">
          <a:solidFill>
            <a:srgbClr val="000000"/>
          </a:solidFill>
          <a:prstDash val="solid"/>
        </a:ln>
      </xdr:spPr>
    </xdr:pic>
    <xdr:clientData/>
  </xdr:twoCellAnchor>
  <xdr:twoCellAnchor>
    <xdr:from>
      <xdr:col>3</xdr:col>
      <xdr:colOff>114300</xdr:colOff>
      <xdr:row>2753</xdr:row>
      <xdr:rowOff>38100</xdr:rowOff>
    </xdr:from>
    <xdr:to>
      <xdr:col>3</xdr:col>
      <xdr:colOff>1552575</xdr:colOff>
      <xdr:row>2754</xdr:row>
      <xdr:rowOff>638175</xdr:rowOff>
    </xdr:to>
    <xdr:pic>
      <xdr:nvPicPr>
        <xdr:cNvPr id="1119" name="Имя " descr="Descr ">
          <a:extLst>
            <a:ext uri="{FF2B5EF4-FFF2-40B4-BE49-F238E27FC236}">
              <a16:creationId xmlns:a16="http://schemas.microsoft.com/office/drawing/2014/main" id="{00000000-0008-0000-0000-00005F040000}"/>
            </a:ext>
          </a:extLst>
        </xdr:cNvPr>
        <xdr:cNvPicPr>
          <a:picLocks noChangeAspect="1"/>
        </xdr:cNvPicPr>
      </xdr:nvPicPr>
      <xdr:blipFill>
        <a:blip xmlns:r="http://schemas.openxmlformats.org/officeDocument/2006/relationships" r:embed="rId1118"/>
        <a:stretch>
          <a:fillRect/>
        </a:stretch>
      </xdr:blipFill>
      <xdr:spPr>
        <a:prstGeom prst="rect">
          <a:avLst/>
        </a:prstGeom>
        <a:ln w="9525">
          <a:solidFill>
            <a:srgbClr val="000000"/>
          </a:solidFill>
          <a:prstDash val="solid"/>
        </a:ln>
      </xdr:spPr>
    </xdr:pic>
    <xdr:clientData/>
  </xdr:twoCellAnchor>
  <xdr:twoCellAnchor>
    <xdr:from>
      <xdr:col>3</xdr:col>
      <xdr:colOff>114300</xdr:colOff>
      <xdr:row>2755</xdr:row>
      <xdr:rowOff>38100</xdr:rowOff>
    </xdr:from>
    <xdr:to>
      <xdr:col>3</xdr:col>
      <xdr:colOff>1552575</xdr:colOff>
      <xdr:row>2756</xdr:row>
      <xdr:rowOff>638175</xdr:rowOff>
    </xdr:to>
    <xdr:pic>
      <xdr:nvPicPr>
        <xdr:cNvPr id="1120" name="Имя " descr="Descr ">
          <a:extLst>
            <a:ext uri="{FF2B5EF4-FFF2-40B4-BE49-F238E27FC236}">
              <a16:creationId xmlns:a16="http://schemas.microsoft.com/office/drawing/2014/main" id="{00000000-0008-0000-0000-000060040000}"/>
            </a:ext>
          </a:extLst>
        </xdr:cNvPr>
        <xdr:cNvPicPr>
          <a:picLocks noChangeAspect="1"/>
        </xdr:cNvPicPr>
      </xdr:nvPicPr>
      <xdr:blipFill>
        <a:blip xmlns:r="http://schemas.openxmlformats.org/officeDocument/2006/relationships" r:embed="rId1119"/>
        <a:stretch>
          <a:fillRect/>
        </a:stretch>
      </xdr:blipFill>
      <xdr:spPr>
        <a:prstGeom prst="rect">
          <a:avLst/>
        </a:prstGeom>
        <a:ln w="9525">
          <a:solidFill>
            <a:srgbClr val="000000"/>
          </a:solidFill>
          <a:prstDash val="solid"/>
        </a:ln>
      </xdr:spPr>
    </xdr:pic>
    <xdr:clientData/>
  </xdr:twoCellAnchor>
  <xdr:twoCellAnchor>
    <xdr:from>
      <xdr:col>3</xdr:col>
      <xdr:colOff>114300</xdr:colOff>
      <xdr:row>2757</xdr:row>
      <xdr:rowOff>28575</xdr:rowOff>
    </xdr:from>
    <xdr:to>
      <xdr:col>3</xdr:col>
      <xdr:colOff>1552575</xdr:colOff>
      <xdr:row>2760</xdr:row>
      <xdr:rowOff>209550</xdr:rowOff>
    </xdr:to>
    <xdr:pic>
      <xdr:nvPicPr>
        <xdr:cNvPr id="1121" name="Имя " descr="Descr ">
          <a:extLst>
            <a:ext uri="{FF2B5EF4-FFF2-40B4-BE49-F238E27FC236}">
              <a16:creationId xmlns:a16="http://schemas.microsoft.com/office/drawing/2014/main" id="{00000000-0008-0000-0000-000061040000}"/>
            </a:ext>
          </a:extLst>
        </xdr:cNvPr>
        <xdr:cNvPicPr>
          <a:picLocks noChangeAspect="1"/>
        </xdr:cNvPicPr>
      </xdr:nvPicPr>
      <xdr:blipFill>
        <a:blip xmlns:r="http://schemas.openxmlformats.org/officeDocument/2006/relationships" r:embed="rId1120"/>
        <a:stretch>
          <a:fillRect/>
        </a:stretch>
      </xdr:blipFill>
      <xdr:spPr>
        <a:prstGeom prst="rect">
          <a:avLst/>
        </a:prstGeom>
        <a:ln w="9525">
          <a:solidFill>
            <a:srgbClr val="000000"/>
          </a:solidFill>
          <a:prstDash val="solid"/>
        </a:ln>
      </xdr:spPr>
    </xdr:pic>
    <xdr:clientData/>
  </xdr:twoCellAnchor>
  <xdr:twoCellAnchor>
    <xdr:from>
      <xdr:col>3</xdr:col>
      <xdr:colOff>114300</xdr:colOff>
      <xdr:row>2761</xdr:row>
      <xdr:rowOff>28575</xdr:rowOff>
    </xdr:from>
    <xdr:to>
      <xdr:col>3</xdr:col>
      <xdr:colOff>1552575</xdr:colOff>
      <xdr:row>2761</xdr:row>
      <xdr:rowOff>1266825</xdr:rowOff>
    </xdr:to>
    <xdr:pic>
      <xdr:nvPicPr>
        <xdr:cNvPr id="1122" name="Имя " descr="Descr ">
          <a:extLst>
            <a:ext uri="{FF2B5EF4-FFF2-40B4-BE49-F238E27FC236}">
              <a16:creationId xmlns:a16="http://schemas.microsoft.com/office/drawing/2014/main" id="{00000000-0008-0000-0000-000062040000}"/>
            </a:ext>
          </a:extLst>
        </xdr:cNvPr>
        <xdr:cNvPicPr>
          <a:picLocks noChangeAspect="1"/>
        </xdr:cNvPicPr>
      </xdr:nvPicPr>
      <xdr:blipFill>
        <a:blip xmlns:r="http://schemas.openxmlformats.org/officeDocument/2006/relationships" r:embed="rId1121"/>
        <a:stretch>
          <a:fillRect/>
        </a:stretch>
      </xdr:blipFill>
      <xdr:spPr>
        <a:prstGeom prst="rect">
          <a:avLst/>
        </a:prstGeom>
        <a:ln w="9525">
          <a:solidFill>
            <a:srgbClr val="000000"/>
          </a:solidFill>
          <a:prstDash val="solid"/>
        </a:ln>
      </xdr:spPr>
    </xdr:pic>
    <xdr:clientData/>
  </xdr:twoCellAnchor>
  <xdr:twoCellAnchor>
    <xdr:from>
      <xdr:col>3</xdr:col>
      <xdr:colOff>114300</xdr:colOff>
      <xdr:row>2762</xdr:row>
      <xdr:rowOff>28575</xdr:rowOff>
    </xdr:from>
    <xdr:to>
      <xdr:col>3</xdr:col>
      <xdr:colOff>1552575</xdr:colOff>
      <xdr:row>2762</xdr:row>
      <xdr:rowOff>1266825</xdr:rowOff>
    </xdr:to>
    <xdr:pic>
      <xdr:nvPicPr>
        <xdr:cNvPr id="1123" name="Имя " descr="Descr ">
          <a:extLst>
            <a:ext uri="{FF2B5EF4-FFF2-40B4-BE49-F238E27FC236}">
              <a16:creationId xmlns:a16="http://schemas.microsoft.com/office/drawing/2014/main" id="{00000000-0008-0000-0000-000063040000}"/>
            </a:ext>
          </a:extLst>
        </xdr:cNvPr>
        <xdr:cNvPicPr>
          <a:picLocks noChangeAspect="1"/>
        </xdr:cNvPicPr>
      </xdr:nvPicPr>
      <xdr:blipFill>
        <a:blip xmlns:r="http://schemas.openxmlformats.org/officeDocument/2006/relationships" r:embed="rId1122"/>
        <a:stretch>
          <a:fillRect/>
        </a:stretch>
      </xdr:blipFill>
      <xdr:spPr>
        <a:prstGeom prst="rect">
          <a:avLst/>
        </a:prstGeom>
        <a:ln w="9525">
          <a:solidFill>
            <a:srgbClr val="000000"/>
          </a:solidFill>
          <a:prstDash val="solid"/>
        </a:ln>
      </xdr:spPr>
    </xdr:pic>
    <xdr:clientData/>
  </xdr:twoCellAnchor>
  <xdr:twoCellAnchor>
    <xdr:from>
      <xdr:col>3</xdr:col>
      <xdr:colOff>114300</xdr:colOff>
      <xdr:row>2763</xdr:row>
      <xdr:rowOff>28575</xdr:rowOff>
    </xdr:from>
    <xdr:to>
      <xdr:col>3</xdr:col>
      <xdr:colOff>1552575</xdr:colOff>
      <xdr:row>2763</xdr:row>
      <xdr:rowOff>1266825</xdr:rowOff>
    </xdr:to>
    <xdr:pic>
      <xdr:nvPicPr>
        <xdr:cNvPr id="1124" name="Имя " descr="Descr ">
          <a:extLst>
            <a:ext uri="{FF2B5EF4-FFF2-40B4-BE49-F238E27FC236}">
              <a16:creationId xmlns:a16="http://schemas.microsoft.com/office/drawing/2014/main" id="{00000000-0008-0000-0000-000064040000}"/>
            </a:ext>
          </a:extLst>
        </xdr:cNvPr>
        <xdr:cNvPicPr>
          <a:picLocks noChangeAspect="1"/>
        </xdr:cNvPicPr>
      </xdr:nvPicPr>
      <xdr:blipFill>
        <a:blip xmlns:r="http://schemas.openxmlformats.org/officeDocument/2006/relationships" r:embed="rId1123"/>
        <a:stretch>
          <a:fillRect/>
        </a:stretch>
      </xdr:blipFill>
      <xdr:spPr>
        <a:prstGeom prst="rect">
          <a:avLst/>
        </a:prstGeom>
        <a:ln w="9525">
          <a:solidFill>
            <a:srgbClr val="000000"/>
          </a:solidFill>
          <a:prstDash val="solid"/>
        </a:ln>
      </xdr:spPr>
    </xdr:pic>
    <xdr:clientData/>
  </xdr:twoCellAnchor>
  <xdr:twoCellAnchor>
    <xdr:from>
      <xdr:col>3</xdr:col>
      <xdr:colOff>114300</xdr:colOff>
      <xdr:row>2764</xdr:row>
      <xdr:rowOff>28575</xdr:rowOff>
    </xdr:from>
    <xdr:to>
      <xdr:col>3</xdr:col>
      <xdr:colOff>1552575</xdr:colOff>
      <xdr:row>2766</xdr:row>
      <xdr:rowOff>419100</xdr:rowOff>
    </xdr:to>
    <xdr:pic>
      <xdr:nvPicPr>
        <xdr:cNvPr id="1125" name="Имя " descr="Descr ">
          <a:extLst>
            <a:ext uri="{FF2B5EF4-FFF2-40B4-BE49-F238E27FC236}">
              <a16:creationId xmlns:a16="http://schemas.microsoft.com/office/drawing/2014/main" id="{00000000-0008-0000-0000-000065040000}"/>
            </a:ext>
          </a:extLst>
        </xdr:cNvPr>
        <xdr:cNvPicPr>
          <a:picLocks noChangeAspect="1"/>
        </xdr:cNvPicPr>
      </xdr:nvPicPr>
      <xdr:blipFill>
        <a:blip xmlns:r="http://schemas.openxmlformats.org/officeDocument/2006/relationships" r:embed="rId1124"/>
        <a:stretch>
          <a:fillRect/>
        </a:stretch>
      </xdr:blipFill>
      <xdr:spPr>
        <a:prstGeom prst="rect">
          <a:avLst/>
        </a:prstGeom>
        <a:ln w="9525">
          <a:solidFill>
            <a:srgbClr val="000000"/>
          </a:solidFill>
          <a:prstDash val="solid"/>
        </a:ln>
      </xdr:spPr>
    </xdr:pic>
    <xdr:clientData/>
  </xdr:twoCellAnchor>
  <xdr:twoCellAnchor>
    <xdr:from>
      <xdr:col>3</xdr:col>
      <xdr:colOff>114300</xdr:colOff>
      <xdr:row>2767</xdr:row>
      <xdr:rowOff>38100</xdr:rowOff>
    </xdr:from>
    <xdr:to>
      <xdr:col>3</xdr:col>
      <xdr:colOff>1552575</xdr:colOff>
      <xdr:row>2768</xdr:row>
      <xdr:rowOff>638175</xdr:rowOff>
    </xdr:to>
    <xdr:pic>
      <xdr:nvPicPr>
        <xdr:cNvPr id="1126" name="Имя " descr="Descr ">
          <a:extLst>
            <a:ext uri="{FF2B5EF4-FFF2-40B4-BE49-F238E27FC236}">
              <a16:creationId xmlns:a16="http://schemas.microsoft.com/office/drawing/2014/main" id="{00000000-0008-0000-0000-000066040000}"/>
            </a:ext>
          </a:extLst>
        </xdr:cNvPr>
        <xdr:cNvPicPr>
          <a:picLocks noChangeAspect="1"/>
        </xdr:cNvPicPr>
      </xdr:nvPicPr>
      <xdr:blipFill>
        <a:blip xmlns:r="http://schemas.openxmlformats.org/officeDocument/2006/relationships" r:embed="rId1125"/>
        <a:stretch>
          <a:fillRect/>
        </a:stretch>
      </xdr:blipFill>
      <xdr:spPr>
        <a:prstGeom prst="rect">
          <a:avLst/>
        </a:prstGeom>
        <a:ln w="9525">
          <a:solidFill>
            <a:srgbClr val="000000"/>
          </a:solidFill>
          <a:prstDash val="solid"/>
        </a:ln>
      </xdr:spPr>
    </xdr:pic>
    <xdr:clientData/>
  </xdr:twoCellAnchor>
  <xdr:twoCellAnchor>
    <xdr:from>
      <xdr:col>3</xdr:col>
      <xdr:colOff>114300</xdr:colOff>
      <xdr:row>2769</xdr:row>
      <xdr:rowOff>38100</xdr:rowOff>
    </xdr:from>
    <xdr:to>
      <xdr:col>3</xdr:col>
      <xdr:colOff>1552575</xdr:colOff>
      <xdr:row>2770</xdr:row>
      <xdr:rowOff>638175</xdr:rowOff>
    </xdr:to>
    <xdr:pic>
      <xdr:nvPicPr>
        <xdr:cNvPr id="1127" name="Имя " descr="Descr ">
          <a:extLst>
            <a:ext uri="{FF2B5EF4-FFF2-40B4-BE49-F238E27FC236}">
              <a16:creationId xmlns:a16="http://schemas.microsoft.com/office/drawing/2014/main" id="{00000000-0008-0000-0000-000067040000}"/>
            </a:ext>
          </a:extLst>
        </xdr:cNvPr>
        <xdr:cNvPicPr>
          <a:picLocks noChangeAspect="1"/>
        </xdr:cNvPicPr>
      </xdr:nvPicPr>
      <xdr:blipFill>
        <a:blip xmlns:r="http://schemas.openxmlformats.org/officeDocument/2006/relationships" r:embed="rId1126"/>
        <a:stretch>
          <a:fillRect/>
        </a:stretch>
      </xdr:blipFill>
      <xdr:spPr>
        <a:prstGeom prst="rect">
          <a:avLst/>
        </a:prstGeom>
        <a:ln w="9525">
          <a:solidFill>
            <a:srgbClr val="000000"/>
          </a:solidFill>
          <a:prstDash val="solid"/>
        </a:ln>
      </xdr:spPr>
    </xdr:pic>
    <xdr:clientData/>
  </xdr:twoCellAnchor>
  <xdr:twoCellAnchor>
    <xdr:from>
      <xdr:col>3</xdr:col>
      <xdr:colOff>114300</xdr:colOff>
      <xdr:row>2771</xdr:row>
      <xdr:rowOff>28575</xdr:rowOff>
    </xdr:from>
    <xdr:to>
      <xdr:col>3</xdr:col>
      <xdr:colOff>1552575</xdr:colOff>
      <xdr:row>2771</xdr:row>
      <xdr:rowOff>1266825</xdr:rowOff>
    </xdr:to>
    <xdr:pic>
      <xdr:nvPicPr>
        <xdr:cNvPr id="1128" name="Имя " descr="Descr ">
          <a:extLst>
            <a:ext uri="{FF2B5EF4-FFF2-40B4-BE49-F238E27FC236}">
              <a16:creationId xmlns:a16="http://schemas.microsoft.com/office/drawing/2014/main" id="{00000000-0008-0000-0000-000068040000}"/>
            </a:ext>
          </a:extLst>
        </xdr:cNvPr>
        <xdr:cNvPicPr>
          <a:picLocks noChangeAspect="1"/>
        </xdr:cNvPicPr>
      </xdr:nvPicPr>
      <xdr:blipFill>
        <a:blip xmlns:r="http://schemas.openxmlformats.org/officeDocument/2006/relationships" r:embed="rId1127"/>
        <a:stretch>
          <a:fillRect/>
        </a:stretch>
      </xdr:blipFill>
      <xdr:spPr>
        <a:prstGeom prst="rect">
          <a:avLst/>
        </a:prstGeom>
        <a:ln w="9525">
          <a:solidFill>
            <a:srgbClr val="000000"/>
          </a:solidFill>
          <a:prstDash val="solid"/>
        </a:ln>
      </xdr:spPr>
    </xdr:pic>
    <xdr:clientData/>
  </xdr:twoCellAnchor>
  <xdr:twoCellAnchor>
    <xdr:from>
      <xdr:col>3</xdr:col>
      <xdr:colOff>114300</xdr:colOff>
      <xdr:row>2772</xdr:row>
      <xdr:rowOff>38100</xdr:rowOff>
    </xdr:from>
    <xdr:to>
      <xdr:col>3</xdr:col>
      <xdr:colOff>1552575</xdr:colOff>
      <xdr:row>2773</xdr:row>
      <xdr:rowOff>638175</xdr:rowOff>
    </xdr:to>
    <xdr:pic>
      <xdr:nvPicPr>
        <xdr:cNvPr id="1129" name="Имя " descr="Descr ">
          <a:extLst>
            <a:ext uri="{FF2B5EF4-FFF2-40B4-BE49-F238E27FC236}">
              <a16:creationId xmlns:a16="http://schemas.microsoft.com/office/drawing/2014/main" id="{00000000-0008-0000-0000-000069040000}"/>
            </a:ext>
          </a:extLst>
        </xdr:cNvPr>
        <xdr:cNvPicPr>
          <a:picLocks noChangeAspect="1"/>
        </xdr:cNvPicPr>
      </xdr:nvPicPr>
      <xdr:blipFill>
        <a:blip xmlns:r="http://schemas.openxmlformats.org/officeDocument/2006/relationships" r:embed="rId1128"/>
        <a:stretch>
          <a:fillRect/>
        </a:stretch>
      </xdr:blipFill>
      <xdr:spPr>
        <a:prstGeom prst="rect">
          <a:avLst/>
        </a:prstGeom>
        <a:ln w="9525">
          <a:solidFill>
            <a:srgbClr val="000000"/>
          </a:solidFill>
          <a:prstDash val="solid"/>
        </a:ln>
      </xdr:spPr>
    </xdr:pic>
    <xdr:clientData/>
  </xdr:twoCellAnchor>
  <xdr:twoCellAnchor>
    <xdr:from>
      <xdr:col>3</xdr:col>
      <xdr:colOff>114300</xdr:colOff>
      <xdr:row>2774</xdr:row>
      <xdr:rowOff>38100</xdr:rowOff>
    </xdr:from>
    <xdr:to>
      <xdr:col>3</xdr:col>
      <xdr:colOff>1552575</xdr:colOff>
      <xdr:row>2775</xdr:row>
      <xdr:rowOff>638175</xdr:rowOff>
    </xdr:to>
    <xdr:pic>
      <xdr:nvPicPr>
        <xdr:cNvPr id="1130" name="Имя " descr="Descr ">
          <a:extLst>
            <a:ext uri="{FF2B5EF4-FFF2-40B4-BE49-F238E27FC236}">
              <a16:creationId xmlns:a16="http://schemas.microsoft.com/office/drawing/2014/main" id="{00000000-0008-0000-0000-00006A040000}"/>
            </a:ext>
          </a:extLst>
        </xdr:cNvPr>
        <xdr:cNvPicPr>
          <a:picLocks noChangeAspect="1"/>
        </xdr:cNvPicPr>
      </xdr:nvPicPr>
      <xdr:blipFill>
        <a:blip xmlns:r="http://schemas.openxmlformats.org/officeDocument/2006/relationships" r:embed="rId1129"/>
        <a:stretch>
          <a:fillRect/>
        </a:stretch>
      </xdr:blipFill>
      <xdr:spPr>
        <a:prstGeom prst="rect">
          <a:avLst/>
        </a:prstGeom>
        <a:ln w="9525">
          <a:solidFill>
            <a:srgbClr val="000000"/>
          </a:solidFill>
          <a:prstDash val="solid"/>
        </a:ln>
      </xdr:spPr>
    </xdr:pic>
    <xdr:clientData/>
  </xdr:twoCellAnchor>
  <xdr:twoCellAnchor>
    <xdr:from>
      <xdr:col>3</xdr:col>
      <xdr:colOff>114300</xdr:colOff>
      <xdr:row>2776</xdr:row>
      <xdr:rowOff>38100</xdr:rowOff>
    </xdr:from>
    <xdr:to>
      <xdr:col>3</xdr:col>
      <xdr:colOff>1552575</xdr:colOff>
      <xdr:row>2777</xdr:row>
      <xdr:rowOff>638175</xdr:rowOff>
    </xdr:to>
    <xdr:pic>
      <xdr:nvPicPr>
        <xdr:cNvPr id="1131" name="Имя " descr="Descr ">
          <a:extLst>
            <a:ext uri="{FF2B5EF4-FFF2-40B4-BE49-F238E27FC236}">
              <a16:creationId xmlns:a16="http://schemas.microsoft.com/office/drawing/2014/main" id="{00000000-0008-0000-0000-00006B040000}"/>
            </a:ext>
          </a:extLst>
        </xdr:cNvPr>
        <xdr:cNvPicPr>
          <a:picLocks noChangeAspect="1"/>
        </xdr:cNvPicPr>
      </xdr:nvPicPr>
      <xdr:blipFill>
        <a:blip xmlns:r="http://schemas.openxmlformats.org/officeDocument/2006/relationships" r:embed="rId1130"/>
        <a:stretch>
          <a:fillRect/>
        </a:stretch>
      </xdr:blipFill>
      <xdr:spPr>
        <a:prstGeom prst="rect">
          <a:avLst/>
        </a:prstGeom>
        <a:ln w="9525">
          <a:solidFill>
            <a:srgbClr val="000000"/>
          </a:solidFill>
          <a:prstDash val="solid"/>
        </a:ln>
      </xdr:spPr>
    </xdr:pic>
    <xdr:clientData/>
  </xdr:twoCellAnchor>
  <xdr:twoCellAnchor>
    <xdr:from>
      <xdr:col>3</xdr:col>
      <xdr:colOff>114300</xdr:colOff>
      <xdr:row>2778</xdr:row>
      <xdr:rowOff>28575</xdr:rowOff>
    </xdr:from>
    <xdr:to>
      <xdr:col>3</xdr:col>
      <xdr:colOff>1552575</xdr:colOff>
      <xdr:row>2778</xdr:row>
      <xdr:rowOff>1266825</xdr:rowOff>
    </xdr:to>
    <xdr:pic>
      <xdr:nvPicPr>
        <xdr:cNvPr id="1132" name="Имя " descr="Descr ">
          <a:extLst>
            <a:ext uri="{FF2B5EF4-FFF2-40B4-BE49-F238E27FC236}">
              <a16:creationId xmlns:a16="http://schemas.microsoft.com/office/drawing/2014/main" id="{00000000-0008-0000-0000-00006C040000}"/>
            </a:ext>
          </a:extLst>
        </xdr:cNvPr>
        <xdr:cNvPicPr>
          <a:picLocks noChangeAspect="1"/>
        </xdr:cNvPicPr>
      </xdr:nvPicPr>
      <xdr:blipFill>
        <a:blip xmlns:r="http://schemas.openxmlformats.org/officeDocument/2006/relationships" r:embed="rId1131"/>
        <a:stretch>
          <a:fillRect/>
        </a:stretch>
      </xdr:blipFill>
      <xdr:spPr>
        <a:prstGeom prst="rect">
          <a:avLst/>
        </a:prstGeom>
        <a:ln w="9525">
          <a:solidFill>
            <a:srgbClr val="000000"/>
          </a:solidFill>
          <a:prstDash val="solid"/>
        </a:ln>
      </xdr:spPr>
    </xdr:pic>
    <xdr:clientData/>
  </xdr:twoCellAnchor>
  <xdr:twoCellAnchor>
    <xdr:from>
      <xdr:col>3</xdr:col>
      <xdr:colOff>114300</xdr:colOff>
      <xdr:row>2779</xdr:row>
      <xdr:rowOff>28575</xdr:rowOff>
    </xdr:from>
    <xdr:to>
      <xdr:col>3</xdr:col>
      <xdr:colOff>1552575</xdr:colOff>
      <xdr:row>2779</xdr:row>
      <xdr:rowOff>1266825</xdr:rowOff>
    </xdr:to>
    <xdr:pic>
      <xdr:nvPicPr>
        <xdr:cNvPr id="1133" name="Имя " descr="Descr ">
          <a:extLst>
            <a:ext uri="{FF2B5EF4-FFF2-40B4-BE49-F238E27FC236}">
              <a16:creationId xmlns:a16="http://schemas.microsoft.com/office/drawing/2014/main" id="{00000000-0008-0000-0000-00006D040000}"/>
            </a:ext>
          </a:extLst>
        </xdr:cNvPr>
        <xdr:cNvPicPr>
          <a:picLocks noChangeAspect="1"/>
        </xdr:cNvPicPr>
      </xdr:nvPicPr>
      <xdr:blipFill>
        <a:blip xmlns:r="http://schemas.openxmlformats.org/officeDocument/2006/relationships" r:embed="rId1132"/>
        <a:stretch>
          <a:fillRect/>
        </a:stretch>
      </xdr:blipFill>
      <xdr:spPr>
        <a:prstGeom prst="rect">
          <a:avLst/>
        </a:prstGeom>
        <a:ln w="9525">
          <a:solidFill>
            <a:srgbClr val="000000"/>
          </a:solidFill>
          <a:prstDash val="solid"/>
        </a:ln>
      </xdr:spPr>
    </xdr:pic>
    <xdr:clientData/>
  </xdr:twoCellAnchor>
  <xdr:twoCellAnchor>
    <xdr:from>
      <xdr:col>3</xdr:col>
      <xdr:colOff>114300</xdr:colOff>
      <xdr:row>2780</xdr:row>
      <xdr:rowOff>28575</xdr:rowOff>
    </xdr:from>
    <xdr:to>
      <xdr:col>3</xdr:col>
      <xdr:colOff>1552575</xdr:colOff>
      <xdr:row>2782</xdr:row>
      <xdr:rowOff>419100</xdr:rowOff>
    </xdr:to>
    <xdr:pic>
      <xdr:nvPicPr>
        <xdr:cNvPr id="1134" name="Имя " descr="Descr ">
          <a:extLst>
            <a:ext uri="{FF2B5EF4-FFF2-40B4-BE49-F238E27FC236}">
              <a16:creationId xmlns:a16="http://schemas.microsoft.com/office/drawing/2014/main" id="{00000000-0008-0000-0000-00006E040000}"/>
            </a:ext>
          </a:extLst>
        </xdr:cNvPr>
        <xdr:cNvPicPr>
          <a:picLocks noChangeAspect="1"/>
        </xdr:cNvPicPr>
      </xdr:nvPicPr>
      <xdr:blipFill>
        <a:blip xmlns:r="http://schemas.openxmlformats.org/officeDocument/2006/relationships" r:embed="rId1133"/>
        <a:stretch>
          <a:fillRect/>
        </a:stretch>
      </xdr:blipFill>
      <xdr:spPr>
        <a:prstGeom prst="rect">
          <a:avLst/>
        </a:prstGeom>
        <a:ln w="9525">
          <a:solidFill>
            <a:srgbClr val="000000"/>
          </a:solidFill>
          <a:prstDash val="solid"/>
        </a:ln>
      </xdr:spPr>
    </xdr:pic>
    <xdr:clientData/>
  </xdr:twoCellAnchor>
  <xdr:twoCellAnchor>
    <xdr:from>
      <xdr:col>3</xdr:col>
      <xdr:colOff>114300</xdr:colOff>
      <xdr:row>2783</xdr:row>
      <xdr:rowOff>28575</xdr:rowOff>
    </xdr:from>
    <xdr:to>
      <xdr:col>3</xdr:col>
      <xdr:colOff>1552575</xdr:colOff>
      <xdr:row>2785</xdr:row>
      <xdr:rowOff>419100</xdr:rowOff>
    </xdr:to>
    <xdr:pic>
      <xdr:nvPicPr>
        <xdr:cNvPr id="1135" name="Имя " descr="Descr ">
          <a:extLst>
            <a:ext uri="{FF2B5EF4-FFF2-40B4-BE49-F238E27FC236}">
              <a16:creationId xmlns:a16="http://schemas.microsoft.com/office/drawing/2014/main" id="{00000000-0008-0000-0000-00006F040000}"/>
            </a:ext>
          </a:extLst>
        </xdr:cNvPr>
        <xdr:cNvPicPr>
          <a:picLocks noChangeAspect="1"/>
        </xdr:cNvPicPr>
      </xdr:nvPicPr>
      <xdr:blipFill>
        <a:blip xmlns:r="http://schemas.openxmlformats.org/officeDocument/2006/relationships" r:embed="rId1134"/>
        <a:stretch>
          <a:fillRect/>
        </a:stretch>
      </xdr:blipFill>
      <xdr:spPr>
        <a:prstGeom prst="rect">
          <a:avLst/>
        </a:prstGeom>
        <a:ln w="9525">
          <a:solidFill>
            <a:srgbClr val="000000"/>
          </a:solidFill>
          <a:prstDash val="solid"/>
        </a:ln>
      </xdr:spPr>
    </xdr:pic>
    <xdr:clientData/>
  </xdr:twoCellAnchor>
  <xdr:twoCellAnchor>
    <xdr:from>
      <xdr:col>3</xdr:col>
      <xdr:colOff>114300</xdr:colOff>
      <xdr:row>2786</xdr:row>
      <xdr:rowOff>28575</xdr:rowOff>
    </xdr:from>
    <xdr:to>
      <xdr:col>3</xdr:col>
      <xdr:colOff>1552575</xdr:colOff>
      <xdr:row>2786</xdr:row>
      <xdr:rowOff>1266825</xdr:rowOff>
    </xdr:to>
    <xdr:pic>
      <xdr:nvPicPr>
        <xdr:cNvPr id="1136" name="Имя " descr="Descr ">
          <a:extLst>
            <a:ext uri="{FF2B5EF4-FFF2-40B4-BE49-F238E27FC236}">
              <a16:creationId xmlns:a16="http://schemas.microsoft.com/office/drawing/2014/main" id="{00000000-0008-0000-0000-000070040000}"/>
            </a:ext>
          </a:extLst>
        </xdr:cNvPr>
        <xdr:cNvPicPr>
          <a:picLocks noChangeAspect="1"/>
        </xdr:cNvPicPr>
      </xdr:nvPicPr>
      <xdr:blipFill>
        <a:blip xmlns:r="http://schemas.openxmlformats.org/officeDocument/2006/relationships" r:embed="rId1135"/>
        <a:stretch>
          <a:fillRect/>
        </a:stretch>
      </xdr:blipFill>
      <xdr:spPr>
        <a:prstGeom prst="rect">
          <a:avLst/>
        </a:prstGeom>
        <a:ln w="9525">
          <a:solidFill>
            <a:srgbClr val="000000"/>
          </a:solidFill>
          <a:prstDash val="solid"/>
        </a:ln>
      </xdr:spPr>
    </xdr:pic>
    <xdr:clientData/>
  </xdr:twoCellAnchor>
  <xdr:twoCellAnchor>
    <xdr:from>
      <xdr:col>3</xdr:col>
      <xdr:colOff>114300</xdr:colOff>
      <xdr:row>2787</xdr:row>
      <xdr:rowOff>28575</xdr:rowOff>
    </xdr:from>
    <xdr:to>
      <xdr:col>3</xdr:col>
      <xdr:colOff>1552575</xdr:colOff>
      <xdr:row>2787</xdr:row>
      <xdr:rowOff>1266825</xdr:rowOff>
    </xdr:to>
    <xdr:pic>
      <xdr:nvPicPr>
        <xdr:cNvPr id="1137" name="Имя " descr="Descr ">
          <a:extLst>
            <a:ext uri="{FF2B5EF4-FFF2-40B4-BE49-F238E27FC236}">
              <a16:creationId xmlns:a16="http://schemas.microsoft.com/office/drawing/2014/main" id="{00000000-0008-0000-0000-000071040000}"/>
            </a:ext>
          </a:extLst>
        </xdr:cNvPr>
        <xdr:cNvPicPr>
          <a:picLocks noChangeAspect="1"/>
        </xdr:cNvPicPr>
      </xdr:nvPicPr>
      <xdr:blipFill>
        <a:blip xmlns:r="http://schemas.openxmlformats.org/officeDocument/2006/relationships" r:embed="rId1136"/>
        <a:stretch>
          <a:fillRect/>
        </a:stretch>
      </xdr:blipFill>
      <xdr:spPr>
        <a:prstGeom prst="rect">
          <a:avLst/>
        </a:prstGeom>
        <a:ln w="9525">
          <a:solidFill>
            <a:srgbClr val="000000"/>
          </a:solidFill>
          <a:prstDash val="solid"/>
        </a:ln>
      </xdr:spPr>
    </xdr:pic>
    <xdr:clientData/>
  </xdr:twoCellAnchor>
  <xdr:twoCellAnchor>
    <xdr:from>
      <xdr:col>3</xdr:col>
      <xdr:colOff>114300</xdr:colOff>
      <xdr:row>2788</xdr:row>
      <xdr:rowOff>38100</xdr:rowOff>
    </xdr:from>
    <xdr:to>
      <xdr:col>3</xdr:col>
      <xdr:colOff>1552575</xdr:colOff>
      <xdr:row>2789</xdr:row>
      <xdr:rowOff>638175</xdr:rowOff>
    </xdr:to>
    <xdr:pic>
      <xdr:nvPicPr>
        <xdr:cNvPr id="1138" name="Имя " descr="Descr ">
          <a:extLst>
            <a:ext uri="{FF2B5EF4-FFF2-40B4-BE49-F238E27FC236}">
              <a16:creationId xmlns:a16="http://schemas.microsoft.com/office/drawing/2014/main" id="{00000000-0008-0000-0000-000072040000}"/>
            </a:ext>
          </a:extLst>
        </xdr:cNvPr>
        <xdr:cNvPicPr>
          <a:picLocks noChangeAspect="1"/>
        </xdr:cNvPicPr>
      </xdr:nvPicPr>
      <xdr:blipFill>
        <a:blip xmlns:r="http://schemas.openxmlformats.org/officeDocument/2006/relationships" r:embed="rId1137"/>
        <a:stretch>
          <a:fillRect/>
        </a:stretch>
      </xdr:blipFill>
      <xdr:spPr>
        <a:prstGeom prst="rect">
          <a:avLst/>
        </a:prstGeom>
        <a:ln w="9525">
          <a:solidFill>
            <a:srgbClr val="000000"/>
          </a:solidFill>
          <a:prstDash val="solid"/>
        </a:ln>
      </xdr:spPr>
    </xdr:pic>
    <xdr:clientData/>
  </xdr:twoCellAnchor>
  <xdr:twoCellAnchor>
    <xdr:from>
      <xdr:col>3</xdr:col>
      <xdr:colOff>114300</xdr:colOff>
      <xdr:row>2790</xdr:row>
      <xdr:rowOff>38100</xdr:rowOff>
    </xdr:from>
    <xdr:to>
      <xdr:col>3</xdr:col>
      <xdr:colOff>1552575</xdr:colOff>
      <xdr:row>2791</xdr:row>
      <xdr:rowOff>638175</xdr:rowOff>
    </xdr:to>
    <xdr:pic>
      <xdr:nvPicPr>
        <xdr:cNvPr id="1139" name="Имя " descr="Descr ">
          <a:extLst>
            <a:ext uri="{FF2B5EF4-FFF2-40B4-BE49-F238E27FC236}">
              <a16:creationId xmlns:a16="http://schemas.microsoft.com/office/drawing/2014/main" id="{00000000-0008-0000-0000-000073040000}"/>
            </a:ext>
          </a:extLst>
        </xdr:cNvPr>
        <xdr:cNvPicPr>
          <a:picLocks noChangeAspect="1"/>
        </xdr:cNvPicPr>
      </xdr:nvPicPr>
      <xdr:blipFill>
        <a:blip xmlns:r="http://schemas.openxmlformats.org/officeDocument/2006/relationships" r:embed="rId1138"/>
        <a:stretch>
          <a:fillRect/>
        </a:stretch>
      </xdr:blipFill>
      <xdr:spPr>
        <a:prstGeom prst="rect">
          <a:avLst/>
        </a:prstGeom>
        <a:ln w="9525">
          <a:solidFill>
            <a:srgbClr val="000000"/>
          </a:solidFill>
          <a:prstDash val="solid"/>
        </a:ln>
      </xdr:spPr>
    </xdr:pic>
    <xdr:clientData/>
  </xdr:twoCellAnchor>
  <xdr:twoCellAnchor>
    <xdr:from>
      <xdr:col>3</xdr:col>
      <xdr:colOff>114300</xdr:colOff>
      <xdr:row>2792</xdr:row>
      <xdr:rowOff>28575</xdr:rowOff>
    </xdr:from>
    <xdr:to>
      <xdr:col>3</xdr:col>
      <xdr:colOff>1552575</xdr:colOff>
      <xdr:row>2795</xdr:row>
      <xdr:rowOff>209550</xdr:rowOff>
    </xdr:to>
    <xdr:pic>
      <xdr:nvPicPr>
        <xdr:cNvPr id="1140" name="Имя " descr="Descr ">
          <a:extLst>
            <a:ext uri="{FF2B5EF4-FFF2-40B4-BE49-F238E27FC236}">
              <a16:creationId xmlns:a16="http://schemas.microsoft.com/office/drawing/2014/main" id="{00000000-0008-0000-0000-000074040000}"/>
            </a:ext>
          </a:extLst>
        </xdr:cNvPr>
        <xdr:cNvPicPr>
          <a:picLocks noChangeAspect="1"/>
        </xdr:cNvPicPr>
      </xdr:nvPicPr>
      <xdr:blipFill>
        <a:blip xmlns:r="http://schemas.openxmlformats.org/officeDocument/2006/relationships" r:embed="rId1139"/>
        <a:stretch>
          <a:fillRect/>
        </a:stretch>
      </xdr:blipFill>
      <xdr:spPr>
        <a:prstGeom prst="rect">
          <a:avLst/>
        </a:prstGeom>
        <a:ln w="9525">
          <a:solidFill>
            <a:srgbClr val="000000"/>
          </a:solidFill>
          <a:prstDash val="solid"/>
        </a:ln>
      </xdr:spPr>
    </xdr:pic>
    <xdr:clientData/>
  </xdr:twoCellAnchor>
  <xdr:twoCellAnchor>
    <xdr:from>
      <xdr:col>3</xdr:col>
      <xdr:colOff>114300</xdr:colOff>
      <xdr:row>2796</xdr:row>
      <xdr:rowOff>28575</xdr:rowOff>
    </xdr:from>
    <xdr:to>
      <xdr:col>3</xdr:col>
      <xdr:colOff>1552575</xdr:colOff>
      <xdr:row>2796</xdr:row>
      <xdr:rowOff>1266825</xdr:rowOff>
    </xdr:to>
    <xdr:pic>
      <xdr:nvPicPr>
        <xdr:cNvPr id="1141" name="Имя " descr="Descr ">
          <a:extLst>
            <a:ext uri="{FF2B5EF4-FFF2-40B4-BE49-F238E27FC236}">
              <a16:creationId xmlns:a16="http://schemas.microsoft.com/office/drawing/2014/main" id="{00000000-0008-0000-0000-000075040000}"/>
            </a:ext>
          </a:extLst>
        </xdr:cNvPr>
        <xdr:cNvPicPr>
          <a:picLocks noChangeAspect="1"/>
        </xdr:cNvPicPr>
      </xdr:nvPicPr>
      <xdr:blipFill>
        <a:blip xmlns:r="http://schemas.openxmlformats.org/officeDocument/2006/relationships" r:embed="rId1140"/>
        <a:stretch>
          <a:fillRect/>
        </a:stretch>
      </xdr:blipFill>
      <xdr:spPr>
        <a:prstGeom prst="rect">
          <a:avLst/>
        </a:prstGeom>
        <a:ln w="9525">
          <a:solidFill>
            <a:srgbClr val="000000"/>
          </a:solidFill>
          <a:prstDash val="solid"/>
        </a:ln>
      </xdr:spPr>
    </xdr:pic>
    <xdr:clientData/>
  </xdr:twoCellAnchor>
  <xdr:twoCellAnchor>
    <xdr:from>
      <xdr:col>3</xdr:col>
      <xdr:colOff>114300</xdr:colOff>
      <xdr:row>2797</xdr:row>
      <xdr:rowOff>28575</xdr:rowOff>
    </xdr:from>
    <xdr:to>
      <xdr:col>3</xdr:col>
      <xdr:colOff>1552575</xdr:colOff>
      <xdr:row>2797</xdr:row>
      <xdr:rowOff>1266825</xdr:rowOff>
    </xdr:to>
    <xdr:pic>
      <xdr:nvPicPr>
        <xdr:cNvPr id="1142" name="Имя " descr="Descr ">
          <a:extLst>
            <a:ext uri="{FF2B5EF4-FFF2-40B4-BE49-F238E27FC236}">
              <a16:creationId xmlns:a16="http://schemas.microsoft.com/office/drawing/2014/main" id="{00000000-0008-0000-0000-000076040000}"/>
            </a:ext>
          </a:extLst>
        </xdr:cNvPr>
        <xdr:cNvPicPr>
          <a:picLocks noChangeAspect="1"/>
        </xdr:cNvPicPr>
      </xdr:nvPicPr>
      <xdr:blipFill>
        <a:blip xmlns:r="http://schemas.openxmlformats.org/officeDocument/2006/relationships" r:embed="rId1141"/>
        <a:stretch>
          <a:fillRect/>
        </a:stretch>
      </xdr:blipFill>
      <xdr:spPr>
        <a:prstGeom prst="rect">
          <a:avLst/>
        </a:prstGeom>
        <a:ln w="9525">
          <a:solidFill>
            <a:srgbClr val="000000"/>
          </a:solidFill>
          <a:prstDash val="solid"/>
        </a:ln>
      </xdr:spPr>
    </xdr:pic>
    <xdr:clientData/>
  </xdr:twoCellAnchor>
  <xdr:twoCellAnchor>
    <xdr:from>
      <xdr:col>3</xdr:col>
      <xdr:colOff>114300</xdr:colOff>
      <xdr:row>2798</xdr:row>
      <xdr:rowOff>28575</xdr:rowOff>
    </xdr:from>
    <xdr:to>
      <xdr:col>3</xdr:col>
      <xdr:colOff>1552575</xdr:colOff>
      <xdr:row>2801</xdr:row>
      <xdr:rowOff>209550</xdr:rowOff>
    </xdr:to>
    <xdr:pic>
      <xdr:nvPicPr>
        <xdr:cNvPr id="1143" name="Имя " descr="Descr ">
          <a:extLst>
            <a:ext uri="{FF2B5EF4-FFF2-40B4-BE49-F238E27FC236}">
              <a16:creationId xmlns:a16="http://schemas.microsoft.com/office/drawing/2014/main" id="{00000000-0008-0000-0000-000077040000}"/>
            </a:ext>
          </a:extLst>
        </xdr:cNvPr>
        <xdr:cNvPicPr>
          <a:picLocks noChangeAspect="1"/>
        </xdr:cNvPicPr>
      </xdr:nvPicPr>
      <xdr:blipFill>
        <a:blip xmlns:r="http://schemas.openxmlformats.org/officeDocument/2006/relationships" r:embed="rId1142"/>
        <a:stretch>
          <a:fillRect/>
        </a:stretch>
      </xdr:blipFill>
      <xdr:spPr>
        <a:prstGeom prst="rect">
          <a:avLst/>
        </a:prstGeom>
        <a:ln w="9525">
          <a:solidFill>
            <a:srgbClr val="000000"/>
          </a:solidFill>
          <a:prstDash val="solid"/>
        </a:ln>
      </xdr:spPr>
    </xdr:pic>
    <xdr:clientData/>
  </xdr:twoCellAnchor>
  <xdr:twoCellAnchor>
    <xdr:from>
      <xdr:col>3</xdr:col>
      <xdr:colOff>114300</xdr:colOff>
      <xdr:row>2802</xdr:row>
      <xdr:rowOff>28575</xdr:rowOff>
    </xdr:from>
    <xdr:to>
      <xdr:col>3</xdr:col>
      <xdr:colOff>1552575</xdr:colOff>
      <xdr:row>2807</xdr:row>
      <xdr:rowOff>209550</xdr:rowOff>
    </xdr:to>
    <xdr:pic>
      <xdr:nvPicPr>
        <xdr:cNvPr id="1144" name="Имя " descr="Descr ">
          <a:extLst>
            <a:ext uri="{FF2B5EF4-FFF2-40B4-BE49-F238E27FC236}">
              <a16:creationId xmlns:a16="http://schemas.microsoft.com/office/drawing/2014/main" id="{00000000-0008-0000-0000-000078040000}"/>
            </a:ext>
          </a:extLst>
        </xdr:cNvPr>
        <xdr:cNvPicPr>
          <a:picLocks noChangeAspect="1"/>
        </xdr:cNvPicPr>
      </xdr:nvPicPr>
      <xdr:blipFill>
        <a:blip xmlns:r="http://schemas.openxmlformats.org/officeDocument/2006/relationships" r:embed="rId1143"/>
        <a:stretch>
          <a:fillRect/>
        </a:stretch>
      </xdr:blipFill>
      <xdr:spPr>
        <a:prstGeom prst="rect">
          <a:avLst/>
        </a:prstGeom>
        <a:ln w="9525">
          <a:solidFill>
            <a:srgbClr val="000000"/>
          </a:solidFill>
          <a:prstDash val="solid"/>
        </a:ln>
      </xdr:spPr>
    </xdr:pic>
    <xdr:clientData/>
  </xdr:twoCellAnchor>
  <xdr:twoCellAnchor>
    <xdr:from>
      <xdr:col>3</xdr:col>
      <xdr:colOff>114300</xdr:colOff>
      <xdr:row>2808</xdr:row>
      <xdr:rowOff>28575</xdr:rowOff>
    </xdr:from>
    <xdr:to>
      <xdr:col>3</xdr:col>
      <xdr:colOff>1552575</xdr:colOff>
      <xdr:row>2810</xdr:row>
      <xdr:rowOff>419100</xdr:rowOff>
    </xdr:to>
    <xdr:pic>
      <xdr:nvPicPr>
        <xdr:cNvPr id="1145" name="Имя " descr="Descr ">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144"/>
        <a:stretch>
          <a:fillRect/>
        </a:stretch>
      </xdr:blipFill>
      <xdr:spPr>
        <a:prstGeom prst="rect">
          <a:avLst/>
        </a:prstGeom>
        <a:ln w="9525">
          <a:solidFill>
            <a:srgbClr val="000000"/>
          </a:solidFill>
          <a:prstDash val="solid"/>
        </a:ln>
      </xdr:spPr>
    </xdr:pic>
    <xdr:clientData/>
  </xdr:twoCellAnchor>
  <xdr:twoCellAnchor>
    <xdr:from>
      <xdr:col>3</xdr:col>
      <xdr:colOff>114300</xdr:colOff>
      <xdr:row>2811</xdr:row>
      <xdr:rowOff>28575</xdr:rowOff>
    </xdr:from>
    <xdr:to>
      <xdr:col>3</xdr:col>
      <xdr:colOff>1552575</xdr:colOff>
      <xdr:row>2813</xdr:row>
      <xdr:rowOff>419100</xdr:rowOff>
    </xdr:to>
    <xdr:pic>
      <xdr:nvPicPr>
        <xdr:cNvPr id="1146" name="Имя " descr="Descr ">
          <a:extLst>
            <a:ext uri="{FF2B5EF4-FFF2-40B4-BE49-F238E27FC236}">
              <a16:creationId xmlns:a16="http://schemas.microsoft.com/office/drawing/2014/main" id="{00000000-0008-0000-0000-00007A040000}"/>
            </a:ext>
          </a:extLst>
        </xdr:cNvPr>
        <xdr:cNvPicPr>
          <a:picLocks noChangeAspect="1"/>
        </xdr:cNvPicPr>
      </xdr:nvPicPr>
      <xdr:blipFill>
        <a:blip xmlns:r="http://schemas.openxmlformats.org/officeDocument/2006/relationships" r:embed="rId1145"/>
        <a:stretch>
          <a:fillRect/>
        </a:stretch>
      </xdr:blipFill>
      <xdr:spPr>
        <a:prstGeom prst="rect">
          <a:avLst/>
        </a:prstGeom>
        <a:ln w="9525">
          <a:solidFill>
            <a:srgbClr val="000000"/>
          </a:solidFill>
          <a:prstDash val="solid"/>
        </a:ln>
      </xdr:spPr>
    </xdr:pic>
    <xdr:clientData/>
  </xdr:twoCellAnchor>
  <xdr:twoCellAnchor>
    <xdr:from>
      <xdr:col>3</xdr:col>
      <xdr:colOff>114300</xdr:colOff>
      <xdr:row>2814</xdr:row>
      <xdr:rowOff>38100</xdr:rowOff>
    </xdr:from>
    <xdr:to>
      <xdr:col>3</xdr:col>
      <xdr:colOff>1552575</xdr:colOff>
      <xdr:row>2815</xdr:row>
      <xdr:rowOff>638175</xdr:rowOff>
    </xdr:to>
    <xdr:pic>
      <xdr:nvPicPr>
        <xdr:cNvPr id="1147" name="Имя " descr="Descr ">
          <a:extLst>
            <a:ext uri="{FF2B5EF4-FFF2-40B4-BE49-F238E27FC236}">
              <a16:creationId xmlns:a16="http://schemas.microsoft.com/office/drawing/2014/main" id="{00000000-0008-0000-0000-00007B040000}"/>
            </a:ext>
          </a:extLst>
        </xdr:cNvPr>
        <xdr:cNvPicPr>
          <a:picLocks noChangeAspect="1"/>
        </xdr:cNvPicPr>
      </xdr:nvPicPr>
      <xdr:blipFill>
        <a:blip xmlns:r="http://schemas.openxmlformats.org/officeDocument/2006/relationships" r:embed="rId1146"/>
        <a:stretch>
          <a:fillRect/>
        </a:stretch>
      </xdr:blipFill>
      <xdr:spPr>
        <a:prstGeom prst="rect">
          <a:avLst/>
        </a:prstGeom>
        <a:ln w="9525">
          <a:solidFill>
            <a:srgbClr val="000000"/>
          </a:solidFill>
          <a:prstDash val="solid"/>
        </a:ln>
      </xdr:spPr>
    </xdr:pic>
    <xdr:clientData/>
  </xdr:twoCellAnchor>
  <xdr:twoCellAnchor>
    <xdr:from>
      <xdr:col>3</xdr:col>
      <xdr:colOff>114300</xdr:colOff>
      <xdr:row>2816</xdr:row>
      <xdr:rowOff>38100</xdr:rowOff>
    </xdr:from>
    <xdr:to>
      <xdr:col>3</xdr:col>
      <xdr:colOff>1552575</xdr:colOff>
      <xdr:row>2817</xdr:row>
      <xdr:rowOff>638175</xdr:rowOff>
    </xdr:to>
    <xdr:pic>
      <xdr:nvPicPr>
        <xdr:cNvPr id="1148" name="Имя " descr="Descr ">
          <a:extLst>
            <a:ext uri="{FF2B5EF4-FFF2-40B4-BE49-F238E27FC236}">
              <a16:creationId xmlns:a16="http://schemas.microsoft.com/office/drawing/2014/main" id="{00000000-0008-0000-0000-00007C040000}"/>
            </a:ext>
          </a:extLst>
        </xdr:cNvPr>
        <xdr:cNvPicPr>
          <a:picLocks noChangeAspect="1"/>
        </xdr:cNvPicPr>
      </xdr:nvPicPr>
      <xdr:blipFill>
        <a:blip xmlns:r="http://schemas.openxmlformats.org/officeDocument/2006/relationships" r:embed="rId1147"/>
        <a:stretch>
          <a:fillRect/>
        </a:stretch>
      </xdr:blipFill>
      <xdr:spPr>
        <a:prstGeom prst="rect">
          <a:avLst/>
        </a:prstGeom>
        <a:ln w="9525">
          <a:solidFill>
            <a:srgbClr val="000000"/>
          </a:solidFill>
          <a:prstDash val="solid"/>
        </a:ln>
      </xdr:spPr>
    </xdr:pic>
    <xdr:clientData/>
  </xdr:twoCellAnchor>
  <xdr:twoCellAnchor>
    <xdr:from>
      <xdr:col>3</xdr:col>
      <xdr:colOff>114300</xdr:colOff>
      <xdr:row>2818</xdr:row>
      <xdr:rowOff>28575</xdr:rowOff>
    </xdr:from>
    <xdr:to>
      <xdr:col>3</xdr:col>
      <xdr:colOff>1552575</xdr:colOff>
      <xdr:row>2818</xdr:row>
      <xdr:rowOff>1266825</xdr:rowOff>
    </xdr:to>
    <xdr:pic>
      <xdr:nvPicPr>
        <xdr:cNvPr id="1149" name="Имя " descr="Descr ">
          <a:extLst>
            <a:ext uri="{FF2B5EF4-FFF2-40B4-BE49-F238E27FC236}">
              <a16:creationId xmlns:a16="http://schemas.microsoft.com/office/drawing/2014/main" id="{00000000-0008-0000-0000-00007D040000}"/>
            </a:ext>
          </a:extLst>
        </xdr:cNvPr>
        <xdr:cNvPicPr>
          <a:picLocks noChangeAspect="1"/>
        </xdr:cNvPicPr>
      </xdr:nvPicPr>
      <xdr:blipFill>
        <a:blip xmlns:r="http://schemas.openxmlformats.org/officeDocument/2006/relationships" r:embed="rId1148"/>
        <a:stretch>
          <a:fillRect/>
        </a:stretch>
      </xdr:blipFill>
      <xdr:spPr>
        <a:prstGeom prst="rect">
          <a:avLst/>
        </a:prstGeom>
        <a:ln w="9525">
          <a:solidFill>
            <a:srgbClr val="000000"/>
          </a:solidFill>
          <a:prstDash val="solid"/>
        </a:ln>
      </xdr:spPr>
    </xdr:pic>
    <xdr:clientData/>
  </xdr:twoCellAnchor>
  <xdr:twoCellAnchor>
    <xdr:from>
      <xdr:col>3</xdr:col>
      <xdr:colOff>114300</xdr:colOff>
      <xdr:row>2819</xdr:row>
      <xdr:rowOff>28575</xdr:rowOff>
    </xdr:from>
    <xdr:to>
      <xdr:col>3</xdr:col>
      <xdr:colOff>1552575</xdr:colOff>
      <xdr:row>2819</xdr:row>
      <xdr:rowOff>1266825</xdr:rowOff>
    </xdr:to>
    <xdr:pic>
      <xdr:nvPicPr>
        <xdr:cNvPr id="1150" name="Имя " descr="Descr ">
          <a:extLst>
            <a:ext uri="{FF2B5EF4-FFF2-40B4-BE49-F238E27FC236}">
              <a16:creationId xmlns:a16="http://schemas.microsoft.com/office/drawing/2014/main" id="{00000000-0008-0000-0000-00007E040000}"/>
            </a:ext>
          </a:extLst>
        </xdr:cNvPr>
        <xdr:cNvPicPr>
          <a:picLocks noChangeAspect="1"/>
        </xdr:cNvPicPr>
      </xdr:nvPicPr>
      <xdr:blipFill>
        <a:blip xmlns:r="http://schemas.openxmlformats.org/officeDocument/2006/relationships" r:embed="rId1149"/>
        <a:stretch>
          <a:fillRect/>
        </a:stretch>
      </xdr:blipFill>
      <xdr:spPr>
        <a:prstGeom prst="rect">
          <a:avLst/>
        </a:prstGeom>
        <a:ln w="9525">
          <a:solidFill>
            <a:srgbClr val="000000"/>
          </a:solidFill>
          <a:prstDash val="solid"/>
        </a:ln>
      </xdr:spPr>
    </xdr:pic>
    <xdr:clientData/>
  </xdr:twoCellAnchor>
  <xdr:twoCellAnchor>
    <xdr:from>
      <xdr:col>3</xdr:col>
      <xdr:colOff>114300</xdr:colOff>
      <xdr:row>2820</xdr:row>
      <xdr:rowOff>38100</xdr:rowOff>
    </xdr:from>
    <xdr:to>
      <xdr:col>3</xdr:col>
      <xdr:colOff>1552575</xdr:colOff>
      <xdr:row>2821</xdr:row>
      <xdr:rowOff>638175</xdr:rowOff>
    </xdr:to>
    <xdr:pic>
      <xdr:nvPicPr>
        <xdr:cNvPr id="1151" name="Имя " descr="Descr ">
          <a:extLst>
            <a:ext uri="{FF2B5EF4-FFF2-40B4-BE49-F238E27FC236}">
              <a16:creationId xmlns:a16="http://schemas.microsoft.com/office/drawing/2014/main" id="{00000000-0008-0000-0000-00007F040000}"/>
            </a:ext>
          </a:extLst>
        </xdr:cNvPr>
        <xdr:cNvPicPr>
          <a:picLocks noChangeAspect="1"/>
        </xdr:cNvPicPr>
      </xdr:nvPicPr>
      <xdr:blipFill>
        <a:blip xmlns:r="http://schemas.openxmlformats.org/officeDocument/2006/relationships" r:embed="rId1150"/>
        <a:stretch>
          <a:fillRect/>
        </a:stretch>
      </xdr:blipFill>
      <xdr:spPr>
        <a:prstGeom prst="rect">
          <a:avLst/>
        </a:prstGeom>
        <a:ln w="9525">
          <a:solidFill>
            <a:srgbClr val="000000"/>
          </a:solidFill>
          <a:prstDash val="solid"/>
        </a:ln>
      </xdr:spPr>
    </xdr:pic>
    <xdr:clientData/>
  </xdr:twoCellAnchor>
  <xdr:twoCellAnchor>
    <xdr:from>
      <xdr:col>3</xdr:col>
      <xdr:colOff>114300</xdr:colOff>
      <xdr:row>2822</xdr:row>
      <xdr:rowOff>28575</xdr:rowOff>
    </xdr:from>
    <xdr:to>
      <xdr:col>3</xdr:col>
      <xdr:colOff>1552575</xdr:colOff>
      <xdr:row>2824</xdr:row>
      <xdr:rowOff>419100</xdr:rowOff>
    </xdr:to>
    <xdr:pic>
      <xdr:nvPicPr>
        <xdr:cNvPr id="1152" name="Имя " descr="Descr ">
          <a:extLst>
            <a:ext uri="{FF2B5EF4-FFF2-40B4-BE49-F238E27FC236}">
              <a16:creationId xmlns:a16="http://schemas.microsoft.com/office/drawing/2014/main" id="{00000000-0008-0000-0000-000080040000}"/>
            </a:ext>
          </a:extLst>
        </xdr:cNvPr>
        <xdr:cNvPicPr>
          <a:picLocks noChangeAspect="1"/>
        </xdr:cNvPicPr>
      </xdr:nvPicPr>
      <xdr:blipFill>
        <a:blip xmlns:r="http://schemas.openxmlformats.org/officeDocument/2006/relationships" r:embed="rId1151"/>
        <a:stretch>
          <a:fillRect/>
        </a:stretch>
      </xdr:blipFill>
      <xdr:spPr>
        <a:prstGeom prst="rect">
          <a:avLst/>
        </a:prstGeom>
        <a:ln w="9525">
          <a:solidFill>
            <a:srgbClr val="000000"/>
          </a:solidFill>
          <a:prstDash val="solid"/>
        </a:ln>
      </xdr:spPr>
    </xdr:pic>
    <xdr:clientData/>
  </xdr:twoCellAnchor>
  <xdr:twoCellAnchor>
    <xdr:from>
      <xdr:col>3</xdr:col>
      <xdr:colOff>114300</xdr:colOff>
      <xdr:row>2825</xdr:row>
      <xdr:rowOff>38100</xdr:rowOff>
    </xdr:from>
    <xdr:to>
      <xdr:col>3</xdr:col>
      <xdr:colOff>1552575</xdr:colOff>
      <xdr:row>2826</xdr:row>
      <xdr:rowOff>638175</xdr:rowOff>
    </xdr:to>
    <xdr:pic>
      <xdr:nvPicPr>
        <xdr:cNvPr id="1153" name="Имя " descr="Descr ">
          <a:extLst>
            <a:ext uri="{FF2B5EF4-FFF2-40B4-BE49-F238E27FC236}">
              <a16:creationId xmlns:a16="http://schemas.microsoft.com/office/drawing/2014/main" id="{00000000-0008-0000-0000-000081040000}"/>
            </a:ext>
          </a:extLst>
        </xdr:cNvPr>
        <xdr:cNvPicPr>
          <a:picLocks noChangeAspect="1"/>
        </xdr:cNvPicPr>
      </xdr:nvPicPr>
      <xdr:blipFill>
        <a:blip xmlns:r="http://schemas.openxmlformats.org/officeDocument/2006/relationships" r:embed="rId1152"/>
        <a:stretch>
          <a:fillRect/>
        </a:stretch>
      </xdr:blipFill>
      <xdr:spPr>
        <a:prstGeom prst="rect">
          <a:avLst/>
        </a:prstGeom>
        <a:ln w="9525">
          <a:solidFill>
            <a:srgbClr val="000000"/>
          </a:solidFill>
          <a:prstDash val="solid"/>
        </a:ln>
      </xdr:spPr>
    </xdr:pic>
    <xdr:clientData/>
  </xdr:twoCellAnchor>
  <xdr:twoCellAnchor>
    <xdr:from>
      <xdr:col>3</xdr:col>
      <xdr:colOff>114300</xdr:colOff>
      <xdr:row>2827</xdr:row>
      <xdr:rowOff>28575</xdr:rowOff>
    </xdr:from>
    <xdr:to>
      <xdr:col>3</xdr:col>
      <xdr:colOff>1552575</xdr:colOff>
      <xdr:row>2827</xdr:row>
      <xdr:rowOff>1266825</xdr:rowOff>
    </xdr:to>
    <xdr:pic>
      <xdr:nvPicPr>
        <xdr:cNvPr id="1154" name="Имя " descr="Descr ">
          <a:extLst>
            <a:ext uri="{FF2B5EF4-FFF2-40B4-BE49-F238E27FC236}">
              <a16:creationId xmlns:a16="http://schemas.microsoft.com/office/drawing/2014/main" id="{00000000-0008-0000-0000-000082040000}"/>
            </a:ext>
          </a:extLst>
        </xdr:cNvPr>
        <xdr:cNvPicPr>
          <a:picLocks noChangeAspect="1"/>
        </xdr:cNvPicPr>
      </xdr:nvPicPr>
      <xdr:blipFill>
        <a:blip xmlns:r="http://schemas.openxmlformats.org/officeDocument/2006/relationships" r:embed="rId1153"/>
        <a:stretch>
          <a:fillRect/>
        </a:stretch>
      </xdr:blipFill>
      <xdr:spPr>
        <a:prstGeom prst="rect">
          <a:avLst/>
        </a:prstGeom>
        <a:ln w="9525">
          <a:solidFill>
            <a:srgbClr val="000000"/>
          </a:solidFill>
          <a:prstDash val="solid"/>
        </a:ln>
      </xdr:spPr>
    </xdr:pic>
    <xdr:clientData/>
  </xdr:twoCellAnchor>
  <xdr:twoCellAnchor>
    <xdr:from>
      <xdr:col>3</xdr:col>
      <xdr:colOff>114300</xdr:colOff>
      <xdr:row>2828</xdr:row>
      <xdr:rowOff>28575</xdr:rowOff>
    </xdr:from>
    <xdr:to>
      <xdr:col>3</xdr:col>
      <xdr:colOff>1552575</xdr:colOff>
      <xdr:row>2830</xdr:row>
      <xdr:rowOff>419100</xdr:rowOff>
    </xdr:to>
    <xdr:pic>
      <xdr:nvPicPr>
        <xdr:cNvPr id="1155" name="Имя " descr="Descr ">
          <a:extLst>
            <a:ext uri="{FF2B5EF4-FFF2-40B4-BE49-F238E27FC236}">
              <a16:creationId xmlns:a16="http://schemas.microsoft.com/office/drawing/2014/main" id="{00000000-0008-0000-0000-000083040000}"/>
            </a:ext>
          </a:extLst>
        </xdr:cNvPr>
        <xdr:cNvPicPr>
          <a:picLocks noChangeAspect="1"/>
        </xdr:cNvPicPr>
      </xdr:nvPicPr>
      <xdr:blipFill>
        <a:blip xmlns:r="http://schemas.openxmlformats.org/officeDocument/2006/relationships" r:embed="rId1154"/>
        <a:stretch>
          <a:fillRect/>
        </a:stretch>
      </xdr:blipFill>
      <xdr:spPr>
        <a:prstGeom prst="rect">
          <a:avLst/>
        </a:prstGeom>
        <a:ln w="9525">
          <a:solidFill>
            <a:srgbClr val="000000"/>
          </a:solidFill>
          <a:prstDash val="solid"/>
        </a:ln>
      </xdr:spPr>
    </xdr:pic>
    <xdr:clientData/>
  </xdr:twoCellAnchor>
  <xdr:twoCellAnchor>
    <xdr:from>
      <xdr:col>3</xdr:col>
      <xdr:colOff>114300</xdr:colOff>
      <xdr:row>2831</xdr:row>
      <xdr:rowOff>28575</xdr:rowOff>
    </xdr:from>
    <xdr:to>
      <xdr:col>3</xdr:col>
      <xdr:colOff>1552575</xdr:colOff>
      <xdr:row>2833</xdr:row>
      <xdr:rowOff>419100</xdr:rowOff>
    </xdr:to>
    <xdr:pic>
      <xdr:nvPicPr>
        <xdr:cNvPr id="1156" name="Имя " descr="Descr ">
          <a:extLst>
            <a:ext uri="{FF2B5EF4-FFF2-40B4-BE49-F238E27FC236}">
              <a16:creationId xmlns:a16="http://schemas.microsoft.com/office/drawing/2014/main" id="{00000000-0008-0000-0000-000084040000}"/>
            </a:ext>
          </a:extLst>
        </xdr:cNvPr>
        <xdr:cNvPicPr>
          <a:picLocks noChangeAspect="1"/>
        </xdr:cNvPicPr>
      </xdr:nvPicPr>
      <xdr:blipFill>
        <a:blip xmlns:r="http://schemas.openxmlformats.org/officeDocument/2006/relationships" r:embed="rId1155"/>
        <a:stretch>
          <a:fillRect/>
        </a:stretch>
      </xdr:blipFill>
      <xdr:spPr>
        <a:prstGeom prst="rect">
          <a:avLst/>
        </a:prstGeom>
        <a:ln w="9525">
          <a:solidFill>
            <a:srgbClr val="000000"/>
          </a:solidFill>
          <a:prstDash val="solid"/>
        </a:ln>
      </xdr:spPr>
    </xdr:pic>
    <xdr:clientData/>
  </xdr:twoCellAnchor>
  <xdr:twoCellAnchor>
    <xdr:from>
      <xdr:col>3</xdr:col>
      <xdr:colOff>114300</xdr:colOff>
      <xdr:row>2834</xdr:row>
      <xdr:rowOff>28575</xdr:rowOff>
    </xdr:from>
    <xdr:to>
      <xdr:col>3</xdr:col>
      <xdr:colOff>1552575</xdr:colOff>
      <xdr:row>2834</xdr:row>
      <xdr:rowOff>1266825</xdr:rowOff>
    </xdr:to>
    <xdr:pic>
      <xdr:nvPicPr>
        <xdr:cNvPr id="1157" name="Имя " descr="Descr ">
          <a:extLst>
            <a:ext uri="{FF2B5EF4-FFF2-40B4-BE49-F238E27FC236}">
              <a16:creationId xmlns:a16="http://schemas.microsoft.com/office/drawing/2014/main" id="{00000000-0008-0000-0000-000085040000}"/>
            </a:ext>
          </a:extLst>
        </xdr:cNvPr>
        <xdr:cNvPicPr>
          <a:picLocks noChangeAspect="1"/>
        </xdr:cNvPicPr>
      </xdr:nvPicPr>
      <xdr:blipFill>
        <a:blip xmlns:r="http://schemas.openxmlformats.org/officeDocument/2006/relationships" r:embed="rId1156"/>
        <a:stretch>
          <a:fillRect/>
        </a:stretch>
      </xdr:blipFill>
      <xdr:spPr>
        <a:prstGeom prst="rect">
          <a:avLst/>
        </a:prstGeom>
        <a:ln w="9525">
          <a:solidFill>
            <a:srgbClr val="000000"/>
          </a:solidFill>
          <a:prstDash val="solid"/>
        </a:ln>
      </xdr:spPr>
    </xdr:pic>
    <xdr:clientData/>
  </xdr:twoCellAnchor>
  <xdr:twoCellAnchor>
    <xdr:from>
      <xdr:col>3</xdr:col>
      <xdr:colOff>114300</xdr:colOff>
      <xdr:row>2835</xdr:row>
      <xdr:rowOff>28575</xdr:rowOff>
    </xdr:from>
    <xdr:to>
      <xdr:col>3</xdr:col>
      <xdr:colOff>1552575</xdr:colOff>
      <xdr:row>2835</xdr:row>
      <xdr:rowOff>1266825</xdr:rowOff>
    </xdr:to>
    <xdr:pic>
      <xdr:nvPicPr>
        <xdr:cNvPr id="1158" name="Имя " descr="Descr ">
          <a:extLst>
            <a:ext uri="{FF2B5EF4-FFF2-40B4-BE49-F238E27FC236}">
              <a16:creationId xmlns:a16="http://schemas.microsoft.com/office/drawing/2014/main" id="{00000000-0008-0000-0000-000086040000}"/>
            </a:ext>
          </a:extLst>
        </xdr:cNvPr>
        <xdr:cNvPicPr>
          <a:picLocks noChangeAspect="1"/>
        </xdr:cNvPicPr>
      </xdr:nvPicPr>
      <xdr:blipFill>
        <a:blip xmlns:r="http://schemas.openxmlformats.org/officeDocument/2006/relationships" r:embed="rId1157"/>
        <a:stretch>
          <a:fillRect/>
        </a:stretch>
      </xdr:blipFill>
      <xdr:spPr>
        <a:prstGeom prst="rect">
          <a:avLst/>
        </a:prstGeom>
        <a:ln w="9525">
          <a:solidFill>
            <a:srgbClr val="000000"/>
          </a:solidFill>
          <a:prstDash val="solid"/>
        </a:ln>
      </xdr:spPr>
    </xdr:pic>
    <xdr:clientData/>
  </xdr:twoCellAnchor>
  <xdr:twoCellAnchor>
    <xdr:from>
      <xdr:col>3</xdr:col>
      <xdr:colOff>114300</xdr:colOff>
      <xdr:row>2836</xdr:row>
      <xdr:rowOff>28575</xdr:rowOff>
    </xdr:from>
    <xdr:to>
      <xdr:col>3</xdr:col>
      <xdr:colOff>1552575</xdr:colOff>
      <xdr:row>2838</xdr:row>
      <xdr:rowOff>419100</xdr:rowOff>
    </xdr:to>
    <xdr:pic>
      <xdr:nvPicPr>
        <xdr:cNvPr id="1159" name="Имя " descr="Descr ">
          <a:extLst>
            <a:ext uri="{FF2B5EF4-FFF2-40B4-BE49-F238E27FC236}">
              <a16:creationId xmlns:a16="http://schemas.microsoft.com/office/drawing/2014/main" id="{00000000-0008-0000-0000-000087040000}"/>
            </a:ext>
          </a:extLst>
        </xdr:cNvPr>
        <xdr:cNvPicPr>
          <a:picLocks noChangeAspect="1"/>
        </xdr:cNvPicPr>
      </xdr:nvPicPr>
      <xdr:blipFill>
        <a:blip xmlns:r="http://schemas.openxmlformats.org/officeDocument/2006/relationships" r:embed="rId1158"/>
        <a:stretch>
          <a:fillRect/>
        </a:stretch>
      </xdr:blipFill>
      <xdr:spPr>
        <a:prstGeom prst="rect">
          <a:avLst/>
        </a:prstGeom>
        <a:ln w="9525">
          <a:solidFill>
            <a:srgbClr val="000000"/>
          </a:solidFill>
          <a:prstDash val="solid"/>
        </a:ln>
      </xdr:spPr>
    </xdr:pic>
    <xdr:clientData/>
  </xdr:twoCellAnchor>
  <xdr:twoCellAnchor>
    <xdr:from>
      <xdr:col>3</xdr:col>
      <xdr:colOff>114300</xdr:colOff>
      <xdr:row>2839</xdr:row>
      <xdr:rowOff>28575</xdr:rowOff>
    </xdr:from>
    <xdr:to>
      <xdr:col>3</xdr:col>
      <xdr:colOff>1552575</xdr:colOff>
      <xdr:row>2841</xdr:row>
      <xdr:rowOff>419100</xdr:rowOff>
    </xdr:to>
    <xdr:pic>
      <xdr:nvPicPr>
        <xdr:cNvPr id="1160" name="Имя " descr="Descr ">
          <a:extLst>
            <a:ext uri="{FF2B5EF4-FFF2-40B4-BE49-F238E27FC236}">
              <a16:creationId xmlns:a16="http://schemas.microsoft.com/office/drawing/2014/main" id="{00000000-0008-0000-0000-000088040000}"/>
            </a:ext>
          </a:extLst>
        </xdr:cNvPr>
        <xdr:cNvPicPr>
          <a:picLocks noChangeAspect="1"/>
        </xdr:cNvPicPr>
      </xdr:nvPicPr>
      <xdr:blipFill>
        <a:blip xmlns:r="http://schemas.openxmlformats.org/officeDocument/2006/relationships" r:embed="rId1159"/>
        <a:stretch>
          <a:fillRect/>
        </a:stretch>
      </xdr:blipFill>
      <xdr:spPr>
        <a:prstGeom prst="rect">
          <a:avLst/>
        </a:prstGeom>
        <a:ln w="9525">
          <a:solidFill>
            <a:srgbClr val="000000"/>
          </a:solidFill>
          <a:prstDash val="solid"/>
        </a:ln>
      </xdr:spPr>
    </xdr:pic>
    <xdr:clientData/>
  </xdr:twoCellAnchor>
  <xdr:twoCellAnchor>
    <xdr:from>
      <xdr:col>3</xdr:col>
      <xdr:colOff>114300</xdr:colOff>
      <xdr:row>2842</xdr:row>
      <xdr:rowOff>28575</xdr:rowOff>
    </xdr:from>
    <xdr:to>
      <xdr:col>3</xdr:col>
      <xdr:colOff>1552575</xdr:colOff>
      <xdr:row>2845</xdr:row>
      <xdr:rowOff>209550</xdr:rowOff>
    </xdr:to>
    <xdr:pic>
      <xdr:nvPicPr>
        <xdr:cNvPr id="1161" name="Имя " descr="Descr ">
          <a:extLst>
            <a:ext uri="{FF2B5EF4-FFF2-40B4-BE49-F238E27FC236}">
              <a16:creationId xmlns:a16="http://schemas.microsoft.com/office/drawing/2014/main" id="{00000000-0008-0000-0000-000089040000}"/>
            </a:ext>
          </a:extLst>
        </xdr:cNvPr>
        <xdr:cNvPicPr>
          <a:picLocks noChangeAspect="1"/>
        </xdr:cNvPicPr>
      </xdr:nvPicPr>
      <xdr:blipFill>
        <a:blip xmlns:r="http://schemas.openxmlformats.org/officeDocument/2006/relationships" r:embed="rId1160"/>
        <a:stretch>
          <a:fillRect/>
        </a:stretch>
      </xdr:blipFill>
      <xdr:spPr>
        <a:prstGeom prst="rect">
          <a:avLst/>
        </a:prstGeom>
        <a:ln w="9525">
          <a:solidFill>
            <a:srgbClr val="000000"/>
          </a:solidFill>
          <a:prstDash val="solid"/>
        </a:ln>
      </xdr:spPr>
    </xdr:pic>
    <xdr:clientData/>
  </xdr:twoCellAnchor>
  <xdr:twoCellAnchor>
    <xdr:from>
      <xdr:col>3</xdr:col>
      <xdr:colOff>114300</xdr:colOff>
      <xdr:row>2846</xdr:row>
      <xdr:rowOff>38100</xdr:rowOff>
    </xdr:from>
    <xdr:to>
      <xdr:col>3</xdr:col>
      <xdr:colOff>1552575</xdr:colOff>
      <xdr:row>2847</xdr:row>
      <xdr:rowOff>638175</xdr:rowOff>
    </xdr:to>
    <xdr:pic>
      <xdr:nvPicPr>
        <xdr:cNvPr id="1162" name="Имя " descr="Descr ">
          <a:extLst>
            <a:ext uri="{FF2B5EF4-FFF2-40B4-BE49-F238E27FC236}">
              <a16:creationId xmlns:a16="http://schemas.microsoft.com/office/drawing/2014/main" id="{00000000-0008-0000-0000-00008A040000}"/>
            </a:ext>
          </a:extLst>
        </xdr:cNvPr>
        <xdr:cNvPicPr>
          <a:picLocks noChangeAspect="1"/>
        </xdr:cNvPicPr>
      </xdr:nvPicPr>
      <xdr:blipFill>
        <a:blip xmlns:r="http://schemas.openxmlformats.org/officeDocument/2006/relationships" r:embed="rId1161"/>
        <a:stretch>
          <a:fillRect/>
        </a:stretch>
      </xdr:blipFill>
      <xdr:spPr>
        <a:prstGeom prst="rect">
          <a:avLst/>
        </a:prstGeom>
        <a:ln w="9525">
          <a:solidFill>
            <a:srgbClr val="000000"/>
          </a:solidFill>
          <a:prstDash val="solid"/>
        </a:ln>
      </xdr:spPr>
    </xdr:pic>
    <xdr:clientData/>
  </xdr:twoCellAnchor>
  <xdr:twoCellAnchor>
    <xdr:from>
      <xdr:col>3</xdr:col>
      <xdr:colOff>114300</xdr:colOff>
      <xdr:row>2848</xdr:row>
      <xdr:rowOff>38100</xdr:rowOff>
    </xdr:from>
    <xdr:to>
      <xdr:col>3</xdr:col>
      <xdr:colOff>1552575</xdr:colOff>
      <xdr:row>2849</xdr:row>
      <xdr:rowOff>638175</xdr:rowOff>
    </xdr:to>
    <xdr:pic>
      <xdr:nvPicPr>
        <xdr:cNvPr id="1163" name="Имя " descr="Descr ">
          <a:extLst>
            <a:ext uri="{FF2B5EF4-FFF2-40B4-BE49-F238E27FC236}">
              <a16:creationId xmlns:a16="http://schemas.microsoft.com/office/drawing/2014/main" id="{00000000-0008-0000-0000-00008B040000}"/>
            </a:ext>
          </a:extLst>
        </xdr:cNvPr>
        <xdr:cNvPicPr>
          <a:picLocks noChangeAspect="1"/>
        </xdr:cNvPicPr>
      </xdr:nvPicPr>
      <xdr:blipFill>
        <a:blip xmlns:r="http://schemas.openxmlformats.org/officeDocument/2006/relationships" r:embed="rId1162"/>
        <a:stretch>
          <a:fillRect/>
        </a:stretch>
      </xdr:blipFill>
      <xdr:spPr>
        <a:prstGeom prst="rect">
          <a:avLst/>
        </a:prstGeom>
        <a:ln w="9525">
          <a:solidFill>
            <a:srgbClr val="000000"/>
          </a:solidFill>
          <a:prstDash val="solid"/>
        </a:ln>
      </xdr:spPr>
    </xdr:pic>
    <xdr:clientData/>
  </xdr:twoCellAnchor>
  <xdr:twoCellAnchor>
    <xdr:from>
      <xdr:col>3</xdr:col>
      <xdr:colOff>114300</xdr:colOff>
      <xdr:row>2850</xdr:row>
      <xdr:rowOff>28575</xdr:rowOff>
    </xdr:from>
    <xdr:to>
      <xdr:col>3</xdr:col>
      <xdr:colOff>1552575</xdr:colOff>
      <xdr:row>2853</xdr:row>
      <xdr:rowOff>209550</xdr:rowOff>
    </xdr:to>
    <xdr:pic>
      <xdr:nvPicPr>
        <xdr:cNvPr id="1164" name="Имя " descr="Descr ">
          <a:extLst>
            <a:ext uri="{FF2B5EF4-FFF2-40B4-BE49-F238E27FC236}">
              <a16:creationId xmlns:a16="http://schemas.microsoft.com/office/drawing/2014/main" id="{00000000-0008-0000-0000-00008C040000}"/>
            </a:ext>
          </a:extLst>
        </xdr:cNvPr>
        <xdr:cNvPicPr>
          <a:picLocks noChangeAspect="1"/>
        </xdr:cNvPicPr>
      </xdr:nvPicPr>
      <xdr:blipFill>
        <a:blip xmlns:r="http://schemas.openxmlformats.org/officeDocument/2006/relationships" r:embed="rId1163"/>
        <a:stretch>
          <a:fillRect/>
        </a:stretch>
      </xdr:blipFill>
      <xdr:spPr>
        <a:prstGeom prst="rect">
          <a:avLst/>
        </a:prstGeom>
        <a:ln w="9525">
          <a:solidFill>
            <a:srgbClr val="000000"/>
          </a:solidFill>
          <a:prstDash val="solid"/>
        </a:ln>
      </xdr:spPr>
    </xdr:pic>
    <xdr:clientData/>
  </xdr:twoCellAnchor>
  <xdr:twoCellAnchor>
    <xdr:from>
      <xdr:col>3</xdr:col>
      <xdr:colOff>114300</xdr:colOff>
      <xdr:row>2854</xdr:row>
      <xdr:rowOff>38100</xdr:rowOff>
    </xdr:from>
    <xdr:to>
      <xdr:col>3</xdr:col>
      <xdr:colOff>1552575</xdr:colOff>
      <xdr:row>2855</xdr:row>
      <xdr:rowOff>638175</xdr:rowOff>
    </xdr:to>
    <xdr:pic>
      <xdr:nvPicPr>
        <xdr:cNvPr id="1165" name="Имя " descr="Descr ">
          <a:extLst>
            <a:ext uri="{FF2B5EF4-FFF2-40B4-BE49-F238E27FC236}">
              <a16:creationId xmlns:a16="http://schemas.microsoft.com/office/drawing/2014/main" id="{00000000-0008-0000-0000-00008D040000}"/>
            </a:ext>
          </a:extLst>
        </xdr:cNvPr>
        <xdr:cNvPicPr>
          <a:picLocks noChangeAspect="1"/>
        </xdr:cNvPicPr>
      </xdr:nvPicPr>
      <xdr:blipFill>
        <a:blip xmlns:r="http://schemas.openxmlformats.org/officeDocument/2006/relationships" r:embed="rId1164"/>
        <a:stretch>
          <a:fillRect/>
        </a:stretch>
      </xdr:blipFill>
      <xdr:spPr>
        <a:prstGeom prst="rect">
          <a:avLst/>
        </a:prstGeom>
        <a:ln w="9525">
          <a:solidFill>
            <a:srgbClr val="000000"/>
          </a:solidFill>
          <a:prstDash val="solid"/>
        </a:ln>
      </xdr:spPr>
    </xdr:pic>
    <xdr:clientData/>
  </xdr:twoCellAnchor>
  <xdr:twoCellAnchor>
    <xdr:from>
      <xdr:col>3</xdr:col>
      <xdr:colOff>114300</xdr:colOff>
      <xdr:row>2856</xdr:row>
      <xdr:rowOff>38100</xdr:rowOff>
    </xdr:from>
    <xdr:to>
      <xdr:col>3</xdr:col>
      <xdr:colOff>1552575</xdr:colOff>
      <xdr:row>2857</xdr:row>
      <xdr:rowOff>638175</xdr:rowOff>
    </xdr:to>
    <xdr:pic>
      <xdr:nvPicPr>
        <xdr:cNvPr id="1166" name="Имя " descr="Descr ">
          <a:extLst>
            <a:ext uri="{FF2B5EF4-FFF2-40B4-BE49-F238E27FC236}">
              <a16:creationId xmlns:a16="http://schemas.microsoft.com/office/drawing/2014/main" id="{00000000-0008-0000-0000-00008E040000}"/>
            </a:ext>
          </a:extLst>
        </xdr:cNvPr>
        <xdr:cNvPicPr>
          <a:picLocks noChangeAspect="1"/>
        </xdr:cNvPicPr>
      </xdr:nvPicPr>
      <xdr:blipFill>
        <a:blip xmlns:r="http://schemas.openxmlformats.org/officeDocument/2006/relationships" r:embed="rId1165"/>
        <a:stretch>
          <a:fillRect/>
        </a:stretch>
      </xdr:blipFill>
      <xdr:spPr>
        <a:prstGeom prst="rect">
          <a:avLst/>
        </a:prstGeom>
        <a:ln w="9525">
          <a:solidFill>
            <a:srgbClr val="000000"/>
          </a:solidFill>
          <a:prstDash val="solid"/>
        </a:ln>
      </xdr:spPr>
    </xdr:pic>
    <xdr:clientData/>
  </xdr:twoCellAnchor>
  <xdr:twoCellAnchor>
    <xdr:from>
      <xdr:col>3</xdr:col>
      <xdr:colOff>114300</xdr:colOff>
      <xdr:row>2858</xdr:row>
      <xdr:rowOff>38100</xdr:rowOff>
    </xdr:from>
    <xdr:to>
      <xdr:col>3</xdr:col>
      <xdr:colOff>1552575</xdr:colOff>
      <xdr:row>2859</xdr:row>
      <xdr:rowOff>638175</xdr:rowOff>
    </xdr:to>
    <xdr:pic>
      <xdr:nvPicPr>
        <xdr:cNvPr id="1167" name="Имя " descr="Descr ">
          <a:extLst>
            <a:ext uri="{FF2B5EF4-FFF2-40B4-BE49-F238E27FC236}">
              <a16:creationId xmlns:a16="http://schemas.microsoft.com/office/drawing/2014/main" id="{00000000-0008-0000-0000-00008F040000}"/>
            </a:ext>
          </a:extLst>
        </xdr:cNvPr>
        <xdr:cNvPicPr>
          <a:picLocks noChangeAspect="1"/>
        </xdr:cNvPicPr>
      </xdr:nvPicPr>
      <xdr:blipFill>
        <a:blip xmlns:r="http://schemas.openxmlformats.org/officeDocument/2006/relationships" r:embed="rId1166"/>
        <a:stretch>
          <a:fillRect/>
        </a:stretch>
      </xdr:blipFill>
      <xdr:spPr>
        <a:prstGeom prst="rect">
          <a:avLst/>
        </a:prstGeom>
        <a:ln w="9525">
          <a:solidFill>
            <a:srgbClr val="000000"/>
          </a:solidFill>
          <a:prstDash val="solid"/>
        </a:ln>
      </xdr:spPr>
    </xdr:pic>
    <xdr:clientData/>
  </xdr:twoCellAnchor>
  <xdr:twoCellAnchor>
    <xdr:from>
      <xdr:col>3</xdr:col>
      <xdr:colOff>114300</xdr:colOff>
      <xdr:row>2860</xdr:row>
      <xdr:rowOff>28575</xdr:rowOff>
    </xdr:from>
    <xdr:to>
      <xdr:col>3</xdr:col>
      <xdr:colOff>1552575</xdr:colOff>
      <xdr:row>2863</xdr:row>
      <xdr:rowOff>209550</xdr:rowOff>
    </xdr:to>
    <xdr:pic>
      <xdr:nvPicPr>
        <xdr:cNvPr id="1168" name="Имя " descr="Descr ">
          <a:extLst>
            <a:ext uri="{FF2B5EF4-FFF2-40B4-BE49-F238E27FC236}">
              <a16:creationId xmlns:a16="http://schemas.microsoft.com/office/drawing/2014/main" id="{00000000-0008-0000-0000-000090040000}"/>
            </a:ext>
          </a:extLst>
        </xdr:cNvPr>
        <xdr:cNvPicPr>
          <a:picLocks noChangeAspect="1"/>
        </xdr:cNvPicPr>
      </xdr:nvPicPr>
      <xdr:blipFill>
        <a:blip xmlns:r="http://schemas.openxmlformats.org/officeDocument/2006/relationships" r:embed="rId1167"/>
        <a:stretch>
          <a:fillRect/>
        </a:stretch>
      </xdr:blipFill>
      <xdr:spPr>
        <a:prstGeom prst="rect">
          <a:avLst/>
        </a:prstGeom>
        <a:ln w="9525">
          <a:solidFill>
            <a:srgbClr val="000000"/>
          </a:solidFill>
          <a:prstDash val="solid"/>
        </a:ln>
      </xdr:spPr>
    </xdr:pic>
    <xdr:clientData/>
  </xdr:twoCellAnchor>
  <xdr:twoCellAnchor>
    <xdr:from>
      <xdr:col>3</xdr:col>
      <xdr:colOff>114300</xdr:colOff>
      <xdr:row>2864</xdr:row>
      <xdr:rowOff>38100</xdr:rowOff>
    </xdr:from>
    <xdr:to>
      <xdr:col>3</xdr:col>
      <xdr:colOff>1552575</xdr:colOff>
      <xdr:row>2865</xdr:row>
      <xdr:rowOff>638175</xdr:rowOff>
    </xdr:to>
    <xdr:pic>
      <xdr:nvPicPr>
        <xdr:cNvPr id="1169" name="Имя " descr="Descr ">
          <a:extLst>
            <a:ext uri="{FF2B5EF4-FFF2-40B4-BE49-F238E27FC236}">
              <a16:creationId xmlns:a16="http://schemas.microsoft.com/office/drawing/2014/main" id="{00000000-0008-0000-0000-000091040000}"/>
            </a:ext>
          </a:extLst>
        </xdr:cNvPr>
        <xdr:cNvPicPr>
          <a:picLocks noChangeAspect="1"/>
        </xdr:cNvPicPr>
      </xdr:nvPicPr>
      <xdr:blipFill>
        <a:blip xmlns:r="http://schemas.openxmlformats.org/officeDocument/2006/relationships" r:embed="rId1168"/>
        <a:stretch>
          <a:fillRect/>
        </a:stretch>
      </xdr:blipFill>
      <xdr:spPr>
        <a:prstGeom prst="rect">
          <a:avLst/>
        </a:prstGeom>
        <a:ln w="9525">
          <a:solidFill>
            <a:srgbClr val="000000"/>
          </a:solidFill>
          <a:prstDash val="solid"/>
        </a:ln>
      </xdr:spPr>
    </xdr:pic>
    <xdr:clientData/>
  </xdr:twoCellAnchor>
  <xdr:twoCellAnchor>
    <xdr:from>
      <xdr:col>3</xdr:col>
      <xdr:colOff>114300</xdr:colOff>
      <xdr:row>2866</xdr:row>
      <xdr:rowOff>28575</xdr:rowOff>
    </xdr:from>
    <xdr:to>
      <xdr:col>3</xdr:col>
      <xdr:colOff>1552575</xdr:colOff>
      <xdr:row>2866</xdr:row>
      <xdr:rowOff>1266825</xdr:rowOff>
    </xdr:to>
    <xdr:pic>
      <xdr:nvPicPr>
        <xdr:cNvPr id="1170" name="Имя " descr="Descr ">
          <a:extLst>
            <a:ext uri="{FF2B5EF4-FFF2-40B4-BE49-F238E27FC236}">
              <a16:creationId xmlns:a16="http://schemas.microsoft.com/office/drawing/2014/main" id="{00000000-0008-0000-0000-000092040000}"/>
            </a:ext>
          </a:extLst>
        </xdr:cNvPr>
        <xdr:cNvPicPr>
          <a:picLocks noChangeAspect="1"/>
        </xdr:cNvPicPr>
      </xdr:nvPicPr>
      <xdr:blipFill>
        <a:blip xmlns:r="http://schemas.openxmlformats.org/officeDocument/2006/relationships" r:embed="rId1169"/>
        <a:stretch>
          <a:fillRect/>
        </a:stretch>
      </xdr:blipFill>
      <xdr:spPr>
        <a:prstGeom prst="rect">
          <a:avLst/>
        </a:prstGeom>
        <a:ln w="9525">
          <a:solidFill>
            <a:srgbClr val="000000"/>
          </a:solidFill>
          <a:prstDash val="solid"/>
        </a:ln>
      </xdr:spPr>
    </xdr:pic>
    <xdr:clientData/>
  </xdr:twoCellAnchor>
  <xdr:twoCellAnchor>
    <xdr:from>
      <xdr:col>3</xdr:col>
      <xdr:colOff>114300</xdr:colOff>
      <xdr:row>2867</xdr:row>
      <xdr:rowOff>38100</xdr:rowOff>
    </xdr:from>
    <xdr:to>
      <xdr:col>3</xdr:col>
      <xdr:colOff>1552575</xdr:colOff>
      <xdr:row>2868</xdr:row>
      <xdr:rowOff>638175</xdr:rowOff>
    </xdr:to>
    <xdr:pic>
      <xdr:nvPicPr>
        <xdr:cNvPr id="1171" name="Имя " descr="Descr ">
          <a:extLst>
            <a:ext uri="{FF2B5EF4-FFF2-40B4-BE49-F238E27FC236}">
              <a16:creationId xmlns:a16="http://schemas.microsoft.com/office/drawing/2014/main" id="{00000000-0008-0000-0000-000093040000}"/>
            </a:ext>
          </a:extLst>
        </xdr:cNvPr>
        <xdr:cNvPicPr>
          <a:picLocks noChangeAspect="1"/>
        </xdr:cNvPicPr>
      </xdr:nvPicPr>
      <xdr:blipFill>
        <a:blip xmlns:r="http://schemas.openxmlformats.org/officeDocument/2006/relationships" r:embed="rId1170"/>
        <a:stretch>
          <a:fillRect/>
        </a:stretch>
      </xdr:blipFill>
      <xdr:spPr>
        <a:prstGeom prst="rect">
          <a:avLst/>
        </a:prstGeom>
        <a:ln w="9525">
          <a:solidFill>
            <a:srgbClr val="000000"/>
          </a:solidFill>
          <a:prstDash val="solid"/>
        </a:ln>
      </xdr:spPr>
    </xdr:pic>
    <xdr:clientData/>
  </xdr:twoCellAnchor>
  <xdr:twoCellAnchor>
    <xdr:from>
      <xdr:col>3</xdr:col>
      <xdr:colOff>114300</xdr:colOff>
      <xdr:row>2869</xdr:row>
      <xdr:rowOff>28575</xdr:rowOff>
    </xdr:from>
    <xdr:to>
      <xdr:col>3</xdr:col>
      <xdr:colOff>1552575</xdr:colOff>
      <xdr:row>2871</xdr:row>
      <xdr:rowOff>419100</xdr:rowOff>
    </xdr:to>
    <xdr:pic>
      <xdr:nvPicPr>
        <xdr:cNvPr id="1172" name="Имя " descr="Descr ">
          <a:extLst>
            <a:ext uri="{FF2B5EF4-FFF2-40B4-BE49-F238E27FC236}">
              <a16:creationId xmlns:a16="http://schemas.microsoft.com/office/drawing/2014/main" id="{00000000-0008-0000-0000-000094040000}"/>
            </a:ext>
          </a:extLst>
        </xdr:cNvPr>
        <xdr:cNvPicPr>
          <a:picLocks noChangeAspect="1"/>
        </xdr:cNvPicPr>
      </xdr:nvPicPr>
      <xdr:blipFill>
        <a:blip xmlns:r="http://schemas.openxmlformats.org/officeDocument/2006/relationships" r:embed="rId1171"/>
        <a:stretch>
          <a:fillRect/>
        </a:stretch>
      </xdr:blipFill>
      <xdr:spPr>
        <a:prstGeom prst="rect">
          <a:avLst/>
        </a:prstGeom>
        <a:ln w="9525">
          <a:solidFill>
            <a:srgbClr val="000000"/>
          </a:solidFill>
          <a:prstDash val="solid"/>
        </a:ln>
      </xdr:spPr>
    </xdr:pic>
    <xdr:clientData/>
  </xdr:twoCellAnchor>
  <xdr:twoCellAnchor>
    <xdr:from>
      <xdr:col>3</xdr:col>
      <xdr:colOff>114300</xdr:colOff>
      <xdr:row>2872</xdr:row>
      <xdr:rowOff>28575</xdr:rowOff>
    </xdr:from>
    <xdr:to>
      <xdr:col>3</xdr:col>
      <xdr:colOff>1552575</xdr:colOff>
      <xdr:row>2872</xdr:row>
      <xdr:rowOff>1266825</xdr:rowOff>
    </xdr:to>
    <xdr:pic>
      <xdr:nvPicPr>
        <xdr:cNvPr id="1173" name="Имя " descr="Descr ">
          <a:extLst>
            <a:ext uri="{FF2B5EF4-FFF2-40B4-BE49-F238E27FC236}">
              <a16:creationId xmlns:a16="http://schemas.microsoft.com/office/drawing/2014/main" id="{00000000-0008-0000-0000-000095040000}"/>
            </a:ext>
          </a:extLst>
        </xdr:cNvPr>
        <xdr:cNvPicPr>
          <a:picLocks noChangeAspect="1"/>
        </xdr:cNvPicPr>
      </xdr:nvPicPr>
      <xdr:blipFill>
        <a:blip xmlns:r="http://schemas.openxmlformats.org/officeDocument/2006/relationships" r:embed="rId1172"/>
        <a:stretch>
          <a:fillRect/>
        </a:stretch>
      </xdr:blipFill>
      <xdr:spPr>
        <a:prstGeom prst="rect">
          <a:avLst/>
        </a:prstGeom>
        <a:ln w="9525">
          <a:solidFill>
            <a:srgbClr val="000000"/>
          </a:solidFill>
          <a:prstDash val="solid"/>
        </a:ln>
      </xdr:spPr>
    </xdr:pic>
    <xdr:clientData/>
  </xdr:twoCellAnchor>
  <xdr:twoCellAnchor>
    <xdr:from>
      <xdr:col>3</xdr:col>
      <xdr:colOff>114300</xdr:colOff>
      <xdr:row>2873</xdr:row>
      <xdr:rowOff>28575</xdr:rowOff>
    </xdr:from>
    <xdr:to>
      <xdr:col>3</xdr:col>
      <xdr:colOff>1552575</xdr:colOff>
      <xdr:row>2875</xdr:row>
      <xdr:rowOff>419100</xdr:rowOff>
    </xdr:to>
    <xdr:pic>
      <xdr:nvPicPr>
        <xdr:cNvPr id="1174" name="Имя " descr="Descr ">
          <a:extLst>
            <a:ext uri="{FF2B5EF4-FFF2-40B4-BE49-F238E27FC236}">
              <a16:creationId xmlns:a16="http://schemas.microsoft.com/office/drawing/2014/main" id="{00000000-0008-0000-0000-000096040000}"/>
            </a:ext>
          </a:extLst>
        </xdr:cNvPr>
        <xdr:cNvPicPr>
          <a:picLocks noChangeAspect="1"/>
        </xdr:cNvPicPr>
      </xdr:nvPicPr>
      <xdr:blipFill>
        <a:blip xmlns:r="http://schemas.openxmlformats.org/officeDocument/2006/relationships" r:embed="rId1173"/>
        <a:stretch>
          <a:fillRect/>
        </a:stretch>
      </xdr:blipFill>
      <xdr:spPr>
        <a:prstGeom prst="rect">
          <a:avLst/>
        </a:prstGeom>
        <a:ln w="9525">
          <a:solidFill>
            <a:srgbClr val="000000"/>
          </a:solidFill>
          <a:prstDash val="solid"/>
        </a:ln>
      </xdr:spPr>
    </xdr:pic>
    <xdr:clientData/>
  </xdr:twoCellAnchor>
  <xdr:twoCellAnchor>
    <xdr:from>
      <xdr:col>3</xdr:col>
      <xdr:colOff>114300</xdr:colOff>
      <xdr:row>2876</xdr:row>
      <xdr:rowOff>28575</xdr:rowOff>
    </xdr:from>
    <xdr:to>
      <xdr:col>3</xdr:col>
      <xdr:colOff>1552575</xdr:colOff>
      <xdr:row>2879</xdr:row>
      <xdr:rowOff>209550</xdr:rowOff>
    </xdr:to>
    <xdr:pic>
      <xdr:nvPicPr>
        <xdr:cNvPr id="1175" name="Имя " descr="Descr ">
          <a:extLst>
            <a:ext uri="{FF2B5EF4-FFF2-40B4-BE49-F238E27FC236}">
              <a16:creationId xmlns:a16="http://schemas.microsoft.com/office/drawing/2014/main" id="{00000000-0008-0000-0000-000097040000}"/>
            </a:ext>
          </a:extLst>
        </xdr:cNvPr>
        <xdr:cNvPicPr>
          <a:picLocks noChangeAspect="1"/>
        </xdr:cNvPicPr>
      </xdr:nvPicPr>
      <xdr:blipFill>
        <a:blip xmlns:r="http://schemas.openxmlformats.org/officeDocument/2006/relationships" r:embed="rId1174"/>
        <a:stretch>
          <a:fillRect/>
        </a:stretch>
      </xdr:blipFill>
      <xdr:spPr>
        <a:prstGeom prst="rect">
          <a:avLst/>
        </a:prstGeom>
        <a:ln w="9525">
          <a:solidFill>
            <a:srgbClr val="000000"/>
          </a:solidFill>
          <a:prstDash val="solid"/>
        </a:ln>
      </xdr:spPr>
    </xdr:pic>
    <xdr:clientData/>
  </xdr:twoCellAnchor>
  <xdr:twoCellAnchor>
    <xdr:from>
      <xdr:col>3</xdr:col>
      <xdr:colOff>114300</xdr:colOff>
      <xdr:row>2880</xdr:row>
      <xdr:rowOff>28575</xdr:rowOff>
    </xdr:from>
    <xdr:to>
      <xdr:col>3</xdr:col>
      <xdr:colOff>1552575</xdr:colOff>
      <xdr:row>2882</xdr:row>
      <xdr:rowOff>419100</xdr:rowOff>
    </xdr:to>
    <xdr:pic>
      <xdr:nvPicPr>
        <xdr:cNvPr id="1176" name="Имя " descr="Descr ">
          <a:extLst>
            <a:ext uri="{FF2B5EF4-FFF2-40B4-BE49-F238E27FC236}">
              <a16:creationId xmlns:a16="http://schemas.microsoft.com/office/drawing/2014/main" id="{00000000-0008-0000-0000-000098040000}"/>
            </a:ext>
          </a:extLst>
        </xdr:cNvPr>
        <xdr:cNvPicPr>
          <a:picLocks noChangeAspect="1"/>
        </xdr:cNvPicPr>
      </xdr:nvPicPr>
      <xdr:blipFill>
        <a:blip xmlns:r="http://schemas.openxmlformats.org/officeDocument/2006/relationships" r:embed="rId1175"/>
        <a:stretch>
          <a:fillRect/>
        </a:stretch>
      </xdr:blipFill>
      <xdr:spPr>
        <a:prstGeom prst="rect">
          <a:avLst/>
        </a:prstGeom>
        <a:ln w="9525">
          <a:solidFill>
            <a:srgbClr val="000000"/>
          </a:solidFill>
          <a:prstDash val="solid"/>
        </a:ln>
      </xdr:spPr>
    </xdr:pic>
    <xdr:clientData/>
  </xdr:twoCellAnchor>
  <xdr:twoCellAnchor>
    <xdr:from>
      <xdr:col>3</xdr:col>
      <xdr:colOff>114300</xdr:colOff>
      <xdr:row>2883</xdr:row>
      <xdr:rowOff>28575</xdr:rowOff>
    </xdr:from>
    <xdr:to>
      <xdr:col>3</xdr:col>
      <xdr:colOff>1552575</xdr:colOff>
      <xdr:row>2887</xdr:row>
      <xdr:rowOff>333375</xdr:rowOff>
    </xdr:to>
    <xdr:pic>
      <xdr:nvPicPr>
        <xdr:cNvPr id="1177" name="Имя " descr="Descr ">
          <a:extLst>
            <a:ext uri="{FF2B5EF4-FFF2-40B4-BE49-F238E27FC236}">
              <a16:creationId xmlns:a16="http://schemas.microsoft.com/office/drawing/2014/main" id="{00000000-0008-0000-0000-000099040000}"/>
            </a:ext>
          </a:extLst>
        </xdr:cNvPr>
        <xdr:cNvPicPr>
          <a:picLocks noChangeAspect="1"/>
        </xdr:cNvPicPr>
      </xdr:nvPicPr>
      <xdr:blipFill>
        <a:blip xmlns:r="http://schemas.openxmlformats.org/officeDocument/2006/relationships" r:embed="rId1176"/>
        <a:stretch>
          <a:fillRect/>
        </a:stretch>
      </xdr:blipFill>
      <xdr:spPr>
        <a:prstGeom prst="rect">
          <a:avLst/>
        </a:prstGeom>
        <a:ln w="9525">
          <a:solidFill>
            <a:srgbClr val="000000"/>
          </a:solidFill>
          <a:prstDash val="solid"/>
        </a:ln>
      </xdr:spPr>
    </xdr:pic>
    <xdr:clientData/>
  </xdr:twoCellAnchor>
  <xdr:twoCellAnchor>
    <xdr:from>
      <xdr:col>3</xdr:col>
      <xdr:colOff>114300</xdr:colOff>
      <xdr:row>2888</xdr:row>
      <xdr:rowOff>38100</xdr:rowOff>
    </xdr:from>
    <xdr:to>
      <xdr:col>3</xdr:col>
      <xdr:colOff>1552575</xdr:colOff>
      <xdr:row>2889</xdr:row>
      <xdr:rowOff>638175</xdr:rowOff>
    </xdr:to>
    <xdr:pic>
      <xdr:nvPicPr>
        <xdr:cNvPr id="1178" name="Имя " descr="Descr ">
          <a:extLst>
            <a:ext uri="{FF2B5EF4-FFF2-40B4-BE49-F238E27FC236}">
              <a16:creationId xmlns:a16="http://schemas.microsoft.com/office/drawing/2014/main" id="{00000000-0008-0000-0000-00009A040000}"/>
            </a:ext>
          </a:extLst>
        </xdr:cNvPr>
        <xdr:cNvPicPr>
          <a:picLocks noChangeAspect="1"/>
        </xdr:cNvPicPr>
      </xdr:nvPicPr>
      <xdr:blipFill>
        <a:blip xmlns:r="http://schemas.openxmlformats.org/officeDocument/2006/relationships" r:embed="rId1177"/>
        <a:stretch>
          <a:fillRect/>
        </a:stretch>
      </xdr:blipFill>
      <xdr:spPr>
        <a:prstGeom prst="rect">
          <a:avLst/>
        </a:prstGeom>
        <a:ln w="9525">
          <a:solidFill>
            <a:srgbClr val="000000"/>
          </a:solidFill>
          <a:prstDash val="solid"/>
        </a:ln>
      </xdr:spPr>
    </xdr:pic>
    <xdr:clientData/>
  </xdr:twoCellAnchor>
  <xdr:twoCellAnchor>
    <xdr:from>
      <xdr:col>3</xdr:col>
      <xdr:colOff>114300</xdr:colOff>
      <xdr:row>2890</xdr:row>
      <xdr:rowOff>28575</xdr:rowOff>
    </xdr:from>
    <xdr:to>
      <xdr:col>3</xdr:col>
      <xdr:colOff>1552575</xdr:colOff>
      <xdr:row>2890</xdr:row>
      <xdr:rowOff>1266825</xdr:rowOff>
    </xdr:to>
    <xdr:pic>
      <xdr:nvPicPr>
        <xdr:cNvPr id="1179" name="Имя " descr="Descr ">
          <a:extLst>
            <a:ext uri="{FF2B5EF4-FFF2-40B4-BE49-F238E27FC236}">
              <a16:creationId xmlns:a16="http://schemas.microsoft.com/office/drawing/2014/main" id="{00000000-0008-0000-0000-00009B040000}"/>
            </a:ext>
          </a:extLst>
        </xdr:cNvPr>
        <xdr:cNvPicPr>
          <a:picLocks noChangeAspect="1"/>
        </xdr:cNvPicPr>
      </xdr:nvPicPr>
      <xdr:blipFill>
        <a:blip xmlns:r="http://schemas.openxmlformats.org/officeDocument/2006/relationships" r:embed="rId1178"/>
        <a:stretch>
          <a:fillRect/>
        </a:stretch>
      </xdr:blipFill>
      <xdr:spPr>
        <a:prstGeom prst="rect">
          <a:avLst/>
        </a:prstGeom>
        <a:ln w="9525">
          <a:solidFill>
            <a:srgbClr val="000000"/>
          </a:solidFill>
          <a:prstDash val="solid"/>
        </a:ln>
      </xdr:spPr>
    </xdr:pic>
    <xdr:clientData/>
  </xdr:twoCellAnchor>
  <xdr:twoCellAnchor>
    <xdr:from>
      <xdr:col>3</xdr:col>
      <xdr:colOff>114300</xdr:colOff>
      <xdr:row>2891</xdr:row>
      <xdr:rowOff>28575</xdr:rowOff>
    </xdr:from>
    <xdr:to>
      <xdr:col>3</xdr:col>
      <xdr:colOff>1552575</xdr:colOff>
      <xdr:row>2891</xdr:row>
      <xdr:rowOff>1266825</xdr:rowOff>
    </xdr:to>
    <xdr:pic>
      <xdr:nvPicPr>
        <xdr:cNvPr id="1180" name="Имя " descr="Descr ">
          <a:extLst>
            <a:ext uri="{FF2B5EF4-FFF2-40B4-BE49-F238E27FC236}">
              <a16:creationId xmlns:a16="http://schemas.microsoft.com/office/drawing/2014/main" id="{00000000-0008-0000-0000-00009C040000}"/>
            </a:ext>
          </a:extLst>
        </xdr:cNvPr>
        <xdr:cNvPicPr>
          <a:picLocks noChangeAspect="1"/>
        </xdr:cNvPicPr>
      </xdr:nvPicPr>
      <xdr:blipFill>
        <a:blip xmlns:r="http://schemas.openxmlformats.org/officeDocument/2006/relationships" r:embed="rId1179"/>
        <a:stretch>
          <a:fillRect/>
        </a:stretch>
      </xdr:blipFill>
      <xdr:spPr>
        <a:prstGeom prst="rect">
          <a:avLst/>
        </a:prstGeom>
        <a:ln w="9525">
          <a:solidFill>
            <a:srgbClr val="000000"/>
          </a:solidFill>
          <a:prstDash val="solid"/>
        </a:ln>
      </xdr:spPr>
    </xdr:pic>
    <xdr:clientData/>
  </xdr:twoCellAnchor>
  <xdr:twoCellAnchor>
    <xdr:from>
      <xdr:col>3</xdr:col>
      <xdr:colOff>114300</xdr:colOff>
      <xdr:row>2892</xdr:row>
      <xdr:rowOff>28575</xdr:rowOff>
    </xdr:from>
    <xdr:to>
      <xdr:col>3</xdr:col>
      <xdr:colOff>1552575</xdr:colOff>
      <xdr:row>2892</xdr:row>
      <xdr:rowOff>1266825</xdr:rowOff>
    </xdr:to>
    <xdr:pic>
      <xdr:nvPicPr>
        <xdr:cNvPr id="1181" name="Имя " descr="Descr ">
          <a:extLst>
            <a:ext uri="{FF2B5EF4-FFF2-40B4-BE49-F238E27FC236}">
              <a16:creationId xmlns:a16="http://schemas.microsoft.com/office/drawing/2014/main" id="{00000000-0008-0000-0000-00009D040000}"/>
            </a:ext>
          </a:extLst>
        </xdr:cNvPr>
        <xdr:cNvPicPr>
          <a:picLocks noChangeAspect="1"/>
        </xdr:cNvPicPr>
      </xdr:nvPicPr>
      <xdr:blipFill>
        <a:blip xmlns:r="http://schemas.openxmlformats.org/officeDocument/2006/relationships" r:embed="rId1180"/>
        <a:stretch>
          <a:fillRect/>
        </a:stretch>
      </xdr:blipFill>
      <xdr:spPr>
        <a:prstGeom prst="rect">
          <a:avLst/>
        </a:prstGeom>
        <a:ln w="9525">
          <a:solidFill>
            <a:srgbClr val="000000"/>
          </a:solidFill>
          <a:prstDash val="solid"/>
        </a:ln>
      </xdr:spPr>
    </xdr:pic>
    <xdr:clientData/>
  </xdr:twoCellAnchor>
  <xdr:twoCellAnchor>
    <xdr:from>
      <xdr:col>3</xdr:col>
      <xdr:colOff>114300</xdr:colOff>
      <xdr:row>2893</xdr:row>
      <xdr:rowOff>28575</xdr:rowOff>
    </xdr:from>
    <xdr:to>
      <xdr:col>3</xdr:col>
      <xdr:colOff>1552575</xdr:colOff>
      <xdr:row>2893</xdr:row>
      <xdr:rowOff>1266825</xdr:rowOff>
    </xdr:to>
    <xdr:pic>
      <xdr:nvPicPr>
        <xdr:cNvPr id="1182" name="Имя " descr="Descr ">
          <a:extLst>
            <a:ext uri="{FF2B5EF4-FFF2-40B4-BE49-F238E27FC236}">
              <a16:creationId xmlns:a16="http://schemas.microsoft.com/office/drawing/2014/main" id="{00000000-0008-0000-0000-00009E040000}"/>
            </a:ext>
          </a:extLst>
        </xdr:cNvPr>
        <xdr:cNvPicPr>
          <a:picLocks noChangeAspect="1"/>
        </xdr:cNvPicPr>
      </xdr:nvPicPr>
      <xdr:blipFill>
        <a:blip xmlns:r="http://schemas.openxmlformats.org/officeDocument/2006/relationships" r:embed="rId1181"/>
        <a:stretch>
          <a:fillRect/>
        </a:stretch>
      </xdr:blipFill>
      <xdr:spPr>
        <a:prstGeom prst="rect">
          <a:avLst/>
        </a:prstGeom>
        <a:ln w="9525">
          <a:solidFill>
            <a:srgbClr val="000000"/>
          </a:solidFill>
          <a:prstDash val="solid"/>
        </a:ln>
      </xdr:spPr>
    </xdr:pic>
    <xdr:clientData/>
  </xdr:twoCellAnchor>
  <xdr:twoCellAnchor>
    <xdr:from>
      <xdr:col>3</xdr:col>
      <xdr:colOff>114300</xdr:colOff>
      <xdr:row>2894</xdr:row>
      <xdr:rowOff>38100</xdr:rowOff>
    </xdr:from>
    <xdr:to>
      <xdr:col>3</xdr:col>
      <xdr:colOff>1552575</xdr:colOff>
      <xdr:row>2895</xdr:row>
      <xdr:rowOff>638175</xdr:rowOff>
    </xdr:to>
    <xdr:pic>
      <xdr:nvPicPr>
        <xdr:cNvPr id="1183" name="Имя " descr="Descr ">
          <a:extLst>
            <a:ext uri="{FF2B5EF4-FFF2-40B4-BE49-F238E27FC236}">
              <a16:creationId xmlns:a16="http://schemas.microsoft.com/office/drawing/2014/main" id="{00000000-0008-0000-0000-00009F040000}"/>
            </a:ext>
          </a:extLst>
        </xdr:cNvPr>
        <xdr:cNvPicPr>
          <a:picLocks noChangeAspect="1"/>
        </xdr:cNvPicPr>
      </xdr:nvPicPr>
      <xdr:blipFill>
        <a:blip xmlns:r="http://schemas.openxmlformats.org/officeDocument/2006/relationships" r:embed="rId1182"/>
        <a:stretch>
          <a:fillRect/>
        </a:stretch>
      </xdr:blipFill>
      <xdr:spPr>
        <a:prstGeom prst="rect">
          <a:avLst/>
        </a:prstGeom>
        <a:ln w="9525">
          <a:solidFill>
            <a:srgbClr val="000000"/>
          </a:solidFill>
          <a:prstDash val="solid"/>
        </a:ln>
      </xdr:spPr>
    </xdr:pic>
    <xdr:clientData/>
  </xdr:twoCellAnchor>
  <xdr:twoCellAnchor>
    <xdr:from>
      <xdr:col>3</xdr:col>
      <xdr:colOff>114300</xdr:colOff>
      <xdr:row>2896</xdr:row>
      <xdr:rowOff>28575</xdr:rowOff>
    </xdr:from>
    <xdr:to>
      <xdr:col>3</xdr:col>
      <xdr:colOff>1552575</xdr:colOff>
      <xdr:row>2896</xdr:row>
      <xdr:rowOff>1266825</xdr:rowOff>
    </xdr:to>
    <xdr:pic>
      <xdr:nvPicPr>
        <xdr:cNvPr id="1184" name="Имя " descr="Descr ">
          <a:extLst>
            <a:ext uri="{FF2B5EF4-FFF2-40B4-BE49-F238E27FC236}">
              <a16:creationId xmlns:a16="http://schemas.microsoft.com/office/drawing/2014/main" id="{00000000-0008-0000-0000-0000A0040000}"/>
            </a:ext>
          </a:extLst>
        </xdr:cNvPr>
        <xdr:cNvPicPr>
          <a:picLocks noChangeAspect="1"/>
        </xdr:cNvPicPr>
      </xdr:nvPicPr>
      <xdr:blipFill>
        <a:blip xmlns:r="http://schemas.openxmlformats.org/officeDocument/2006/relationships" r:embed="rId1183"/>
        <a:stretch>
          <a:fillRect/>
        </a:stretch>
      </xdr:blipFill>
      <xdr:spPr>
        <a:prstGeom prst="rect">
          <a:avLst/>
        </a:prstGeom>
        <a:ln w="9525">
          <a:solidFill>
            <a:srgbClr val="000000"/>
          </a:solidFill>
          <a:prstDash val="solid"/>
        </a:ln>
      </xdr:spPr>
    </xdr:pic>
    <xdr:clientData/>
  </xdr:twoCellAnchor>
  <xdr:twoCellAnchor>
    <xdr:from>
      <xdr:col>3</xdr:col>
      <xdr:colOff>114300</xdr:colOff>
      <xdr:row>2897</xdr:row>
      <xdr:rowOff>28575</xdr:rowOff>
    </xdr:from>
    <xdr:to>
      <xdr:col>3</xdr:col>
      <xdr:colOff>1552575</xdr:colOff>
      <xdr:row>2901</xdr:row>
      <xdr:rowOff>333375</xdr:rowOff>
    </xdr:to>
    <xdr:pic>
      <xdr:nvPicPr>
        <xdr:cNvPr id="1185" name="Имя " descr="Descr ">
          <a:extLst>
            <a:ext uri="{FF2B5EF4-FFF2-40B4-BE49-F238E27FC236}">
              <a16:creationId xmlns:a16="http://schemas.microsoft.com/office/drawing/2014/main" id="{00000000-0008-0000-0000-0000A1040000}"/>
            </a:ext>
          </a:extLst>
        </xdr:cNvPr>
        <xdr:cNvPicPr>
          <a:picLocks noChangeAspect="1"/>
        </xdr:cNvPicPr>
      </xdr:nvPicPr>
      <xdr:blipFill>
        <a:blip xmlns:r="http://schemas.openxmlformats.org/officeDocument/2006/relationships" r:embed="rId1184"/>
        <a:stretch>
          <a:fillRect/>
        </a:stretch>
      </xdr:blipFill>
      <xdr:spPr>
        <a:prstGeom prst="rect">
          <a:avLst/>
        </a:prstGeom>
        <a:ln w="9525">
          <a:solidFill>
            <a:srgbClr val="000000"/>
          </a:solidFill>
          <a:prstDash val="solid"/>
        </a:ln>
      </xdr:spPr>
    </xdr:pic>
    <xdr:clientData/>
  </xdr:twoCellAnchor>
  <xdr:twoCellAnchor>
    <xdr:from>
      <xdr:col>3</xdr:col>
      <xdr:colOff>114300</xdr:colOff>
      <xdr:row>2902</xdr:row>
      <xdr:rowOff>28575</xdr:rowOff>
    </xdr:from>
    <xdr:to>
      <xdr:col>3</xdr:col>
      <xdr:colOff>1552575</xdr:colOff>
      <xdr:row>2906</xdr:row>
      <xdr:rowOff>333375</xdr:rowOff>
    </xdr:to>
    <xdr:pic>
      <xdr:nvPicPr>
        <xdr:cNvPr id="1186" name="Имя " descr="Descr ">
          <a:extLst>
            <a:ext uri="{FF2B5EF4-FFF2-40B4-BE49-F238E27FC236}">
              <a16:creationId xmlns:a16="http://schemas.microsoft.com/office/drawing/2014/main" id="{00000000-0008-0000-0000-0000A2040000}"/>
            </a:ext>
          </a:extLst>
        </xdr:cNvPr>
        <xdr:cNvPicPr>
          <a:picLocks noChangeAspect="1"/>
        </xdr:cNvPicPr>
      </xdr:nvPicPr>
      <xdr:blipFill>
        <a:blip xmlns:r="http://schemas.openxmlformats.org/officeDocument/2006/relationships" r:embed="rId1185"/>
        <a:stretch>
          <a:fillRect/>
        </a:stretch>
      </xdr:blipFill>
      <xdr:spPr>
        <a:prstGeom prst="rect">
          <a:avLst/>
        </a:prstGeom>
        <a:ln w="9525">
          <a:solidFill>
            <a:srgbClr val="000000"/>
          </a:solidFill>
          <a:prstDash val="solid"/>
        </a:ln>
      </xdr:spPr>
    </xdr:pic>
    <xdr:clientData/>
  </xdr:twoCellAnchor>
  <xdr:twoCellAnchor>
    <xdr:from>
      <xdr:col>3</xdr:col>
      <xdr:colOff>114300</xdr:colOff>
      <xdr:row>2907</xdr:row>
      <xdr:rowOff>28575</xdr:rowOff>
    </xdr:from>
    <xdr:to>
      <xdr:col>3</xdr:col>
      <xdr:colOff>1552575</xdr:colOff>
      <xdr:row>2907</xdr:row>
      <xdr:rowOff>1266825</xdr:rowOff>
    </xdr:to>
    <xdr:pic>
      <xdr:nvPicPr>
        <xdr:cNvPr id="1187" name="Имя " descr="Descr ">
          <a:extLst>
            <a:ext uri="{FF2B5EF4-FFF2-40B4-BE49-F238E27FC236}">
              <a16:creationId xmlns:a16="http://schemas.microsoft.com/office/drawing/2014/main" id="{00000000-0008-0000-0000-0000A3040000}"/>
            </a:ext>
          </a:extLst>
        </xdr:cNvPr>
        <xdr:cNvPicPr>
          <a:picLocks noChangeAspect="1"/>
        </xdr:cNvPicPr>
      </xdr:nvPicPr>
      <xdr:blipFill>
        <a:blip xmlns:r="http://schemas.openxmlformats.org/officeDocument/2006/relationships" r:embed="rId1186"/>
        <a:stretch>
          <a:fillRect/>
        </a:stretch>
      </xdr:blipFill>
      <xdr:spPr>
        <a:prstGeom prst="rect">
          <a:avLst/>
        </a:prstGeom>
        <a:ln w="9525">
          <a:solidFill>
            <a:srgbClr val="000000"/>
          </a:solidFill>
          <a:prstDash val="solid"/>
        </a:ln>
      </xdr:spPr>
    </xdr:pic>
    <xdr:clientData/>
  </xdr:twoCellAnchor>
  <xdr:twoCellAnchor>
    <xdr:from>
      <xdr:col>3</xdr:col>
      <xdr:colOff>114300</xdr:colOff>
      <xdr:row>2908</xdr:row>
      <xdr:rowOff>28575</xdr:rowOff>
    </xdr:from>
    <xdr:to>
      <xdr:col>3</xdr:col>
      <xdr:colOff>1552575</xdr:colOff>
      <xdr:row>2911</xdr:row>
      <xdr:rowOff>209550</xdr:rowOff>
    </xdr:to>
    <xdr:pic>
      <xdr:nvPicPr>
        <xdr:cNvPr id="1188" name="Имя " descr="Descr ">
          <a:extLst>
            <a:ext uri="{FF2B5EF4-FFF2-40B4-BE49-F238E27FC236}">
              <a16:creationId xmlns:a16="http://schemas.microsoft.com/office/drawing/2014/main" id="{00000000-0008-0000-0000-0000A4040000}"/>
            </a:ext>
          </a:extLst>
        </xdr:cNvPr>
        <xdr:cNvPicPr>
          <a:picLocks noChangeAspect="1"/>
        </xdr:cNvPicPr>
      </xdr:nvPicPr>
      <xdr:blipFill>
        <a:blip xmlns:r="http://schemas.openxmlformats.org/officeDocument/2006/relationships" r:embed="rId1187"/>
        <a:stretch>
          <a:fillRect/>
        </a:stretch>
      </xdr:blipFill>
      <xdr:spPr>
        <a:prstGeom prst="rect">
          <a:avLst/>
        </a:prstGeom>
        <a:ln w="9525">
          <a:solidFill>
            <a:srgbClr val="000000"/>
          </a:solidFill>
          <a:prstDash val="solid"/>
        </a:ln>
      </xdr:spPr>
    </xdr:pic>
    <xdr:clientData/>
  </xdr:twoCellAnchor>
  <xdr:twoCellAnchor>
    <xdr:from>
      <xdr:col>3</xdr:col>
      <xdr:colOff>114300</xdr:colOff>
      <xdr:row>2912</xdr:row>
      <xdr:rowOff>28575</xdr:rowOff>
    </xdr:from>
    <xdr:to>
      <xdr:col>3</xdr:col>
      <xdr:colOff>1552575</xdr:colOff>
      <xdr:row>2915</xdr:row>
      <xdr:rowOff>209550</xdr:rowOff>
    </xdr:to>
    <xdr:pic>
      <xdr:nvPicPr>
        <xdr:cNvPr id="1189" name="Имя " descr="Descr ">
          <a:extLst>
            <a:ext uri="{FF2B5EF4-FFF2-40B4-BE49-F238E27FC236}">
              <a16:creationId xmlns:a16="http://schemas.microsoft.com/office/drawing/2014/main" id="{00000000-0008-0000-0000-0000A5040000}"/>
            </a:ext>
          </a:extLst>
        </xdr:cNvPr>
        <xdr:cNvPicPr>
          <a:picLocks noChangeAspect="1"/>
        </xdr:cNvPicPr>
      </xdr:nvPicPr>
      <xdr:blipFill>
        <a:blip xmlns:r="http://schemas.openxmlformats.org/officeDocument/2006/relationships" r:embed="rId1188"/>
        <a:stretch>
          <a:fillRect/>
        </a:stretch>
      </xdr:blipFill>
      <xdr:spPr>
        <a:prstGeom prst="rect">
          <a:avLst/>
        </a:prstGeom>
        <a:ln w="9525">
          <a:solidFill>
            <a:srgbClr val="000000"/>
          </a:solidFill>
          <a:prstDash val="solid"/>
        </a:ln>
      </xdr:spPr>
    </xdr:pic>
    <xdr:clientData/>
  </xdr:twoCellAnchor>
  <xdr:twoCellAnchor>
    <xdr:from>
      <xdr:col>3</xdr:col>
      <xdr:colOff>114300</xdr:colOff>
      <xdr:row>2916</xdr:row>
      <xdr:rowOff>38100</xdr:rowOff>
    </xdr:from>
    <xdr:to>
      <xdr:col>3</xdr:col>
      <xdr:colOff>1552575</xdr:colOff>
      <xdr:row>2917</xdr:row>
      <xdr:rowOff>638175</xdr:rowOff>
    </xdr:to>
    <xdr:pic>
      <xdr:nvPicPr>
        <xdr:cNvPr id="1190" name="Имя " descr="Descr ">
          <a:extLst>
            <a:ext uri="{FF2B5EF4-FFF2-40B4-BE49-F238E27FC236}">
              <a16:creationId xmlns:a16="http://schemas.microsoft.com/office/drawing/2014/main" id="{00000000-0008-0000-0000-0000A6040000}"/>
            </a:ext>
          </a:extLst>
        </xdr:cNvPr>
        <xdr:cNvPicPr>
          <a:picLocks noChangeAspect="1"/>
        </xdr:cNvPicPr>
      </xdr:nvPicPr>
      <xdr:blipFill>
        <a:blip xmlns:r="http://schemas.openxmlformats.org/officeDocument/2006/relationships" r:embed="rId1189"/>
        <a:stretch>
          <a:fillRect/>
        </a:stretch>
      </xdr:blipFill>
      <xdr:spPr>
        <a:prstGeom prst="rect">
          <a:avLst/>
        </a:prstGeom>
        <a:ln w="9525">
          <a:solidFill>
            <a:srgbClr val="000000"/>
          </a:solidFill>
          <a:prstDash val="solid"/>
        </a:ln>
      </xdr:spPr>
    </xdr:pic>
    <xdr:clientData/>
  </xdr:twoCellAnchor>
  <xdr:twoCellAnchor>
    <xdr:from>
      <xdr:col>3</xdr:col>
      <xdr:colOff>114300</xdr:colOff>
      <xdr:row>2918</xdr:row>
      <xdr:rowOff>28575</xdr:rowOff>
    </xdr:from>
    <xdr:to>
      <xdr:col>3</xdr:col>
      <xdr:colOff>1552575</xdr:colOff>
      <xdr:row>2921</xdr:row>
      <xdr:rowOff>209550</xdr:rowOff>
    </xdr:to>
    <xdr:pic>
      <xdr:nvPicPr>
        <xdr:cNvPr id="1191" name="Имя " descr="Descr ">
          <a:extLst>
            <a:ext uri="{FF2B5EF4-FFF2-40B4-BE49-F238E27FC236}">
              <a16:creationId xmlns:a16="http://schemas.microsoft.com/office/drawing/2014/main" id="{00000000-0008-0000-0000-0000A7040000}"/>
            </a:ext>
          </a:extLst>
        </xdr:cNvPr>
        <xdr:cNvPicPr>
          <a:picLocks noChangeAspect="1"/>
        </xdr:cNvPicPr>
      </xdr:nvPicPr>
      <xdr:blipFill>
        <a:blip xmlns:r="http://schemas.openxmlformats.org/officeDocument/2006/relationships" r:embed="rId1190"/>
        <a:stretch>
          <a:fillRect/>
        </a:stretch>
      </xdr:blipFill>
      <xdr:spPr>
        <a:prstGeom prst="rect">
          <a:avLst/>
        </a:prstGeom>
        <a:ln w="9525">
          <a:solidFill>
            <a:srgbClr val="000000"/>
          </a:solidFill>
          <a:prstDash val="solid"/>
        </a:ln>
      </xdr:spPr>
    </xdr:pic>
    <xdr:clientData/>
  </xdr:twoCellAnchor>
  <xdr:twoCellAnchor>
    <xdr:from>
      <xdr:col>3</xdr:col>
      <xdr:colOff>114300</xdr:colOff>
      <xdr:row>2922</xdr:row>
      <xdr:rowOff>28575</xdr:rowOff>
    </xdr:from>
    <xdr:to>
      <xdr:col>3</xdr:col>
      <xdr:colOff>1552575</xdr:colOff>
      <xdr:row>2926</xdr:row>
      <xdr:rowOff>333375</xdr:rowOff>
    </xdr:to>
    <xdr:pic>
      <xdr:nvPicPr>
        <xdr:cNvPr id="1192" name="Имя " descr="Descr ">
          <a:extLst>
            <a:ext uri="{FF2B5EF4-FFF2-40B4-BE49-F238E27FC236}">
              <a16:creationId xmlns:a16="http://schemas.microsoft.com/office/drawing/2014/main" id="{00000000-0008-0000-0000-0000A8040000}"/>
            </a:ext>
          </a:extLst>
        </xdr:cNvPr>
        <xdr:cNvPicPr>
          <a:picLocks noChangeAspect="1"/>
        </xdr:cNvPicPr>
      </xdr:nvPicPr>
      <xdr:blipFill>
        <a:blip xmlns:r="http://schemas.openxmlformats.org/officeDocument/2006/relationships" r:embed="rId1191"/>
        <a:stretch>
          <a:fillRect/>
        </a:stretch>
      </xdr:blipFill>
      <xdr:spPr>
        <a:prstGeom prst="rect">
          <a:avLst/>
        </a:prstGeom>
        <a:ln w="9525">
          <a:solidFill>
            <a:srgbClr val="000000"/>
          </a:solidFill>
          <a:prstDash val="solid"/>
        </a:ln>
      </xdr:spPr>
    </xdr:pic>
    <xdr:clientData/>
  </xdr:twoCellAnchor>
  <xdr:twoCellAnchor>
    <xdr:from>
      <xdr:col>3</xdr:col>
      <xdr:colOff>114300</xdr:colOff>
      <xdr:row>2927</xdr:row>
      <xdr:rowOff>28575</xdr:rowOff>
    </xdr:from>
    <xdr:to>
      <xdr:col>3</xdr:col>
      <xdr:colOff>1552575</xdr:colOff>
      <xdr:row>2931</xdr:row>
      <xdr:rowOff>333375</xdr:rowOff>
    </xdr:to>
    <xdr:pic>
      <xdr:nvPicPr>
        <xdr:cNvPr id="1193" name="Имя " descr="Descr ">
          <a:extLst>
            <a:ext uri="{FF2B5EF4-FFF2-40B4-BE49-F238E27FC236}">
              <a16:creationId xmlns:a16="http://schemas.microsoft.com/office/drawing/2014/main" id="{00000000-0008-0000-0000-0000A9040000}"/>
            </a:ext>
          </a:extLst>
        </xdr:cNvPr>
        <xdr:cNvPicPr>
          <a:picLocks noChangeAspect="1"/>
        </xdr:cNvPicPr>
      </xdr:nvPicPr>
      <xdr:blipFill>
        <a:blip xmlns:r="http://schemas.openxmlformats.org/officeDocument/2006/relationships" r:embed="rId1192"/>
        <a:stretch>
          <a:fillRect/>
        </a:stretch>
      </xdr:blipFill>
      <xdr:spPr>
        <a:prstGeom prst="rect">
          <a:avLst/>
        </a:prstGeom>
        <a:ln w="9525">
          <a:solidFill>
            <a:srgbClr val="000000"/>
          </a:solidFill>
          <a:prstDash val="solid"/>
        </a:ln>
      </xdr:spPr>
    </xdr:pic>
    <xdr:clientData/>
  </xdr:twoCellAnchor>
  <xdr:twoCellAnchor>
    <xdr:from>
      <xdr:col>3</xdr:col>
      <xdr:colOff>114300</xdr:colOff>
      <xdr:row>2932</xdr:row>
      <xdr:rowOff>28575</xdr:rowOff>
    </xdr:from>
    <xdr:to>
      <xdr:col>3</xdr:col>
      <xdr:colOff>1552575</xdr:colOff>
      <xdr:row>2932</xdr:row>
      <xdr:rowOff>1266825</xdr:rowOff>
    </xdr:to>
    <xdr:pic>
      <xdr:nvPicPr>
        <xdr:cNvPr id="1194" name="Имя " descr="Descr ">
          <a:extLst>
            <a:ext uri="{FF2B5EF4-FFF2-40B4-BE49-F238E27FC236}">
              <a16:creationId xmlns:a16="http://schemas.microsoft.com/office/drawing/2014/main" id="{00000000-0008-0000-0000-0000AA040000}"/>
            </a:ext>
          </a:extLst>
        </xdr:cNvPr>
        <xdr:cNvPicPr>
          <a:picLocks noChangeAspect="1"/>
        </xdr:cNvPicPr>
      </xdr:nvPicPr>
      <xdr:blipFill>
        <a:blip xmlns:r="http://schemas.openxmlformats.org/officeDocument/2006/relationships" r:embed="rId1193"/>
        <a:stretch>
          <a:fillRect/>
        </a:stretch>
      </xdr:blipFill>
      <xdr:spPr>
        <a:prstGeom prst="rect">
          <a:avLst/>
        </a:prstGeom>
        <a:ln w="9525">
          <a:solidFill>
            <a:srgbClr val="000000"/>
          </a:solidFill>
          <a:prstDash val="solid"/>
        </a:ln>
      </xdr:spPr>
    </xdr:pic>
    <xdr:clientData/>
  </xdr:twoCellAnchor>
  <xdr:twoCellAnchor>
    <xdr:from>
      <xdr:col>3</xdr:col>
      <xdr:colOff>114300</xdr:colOff>
      <xdr:row>2933</xdr:row>
      <xdr:rowOff>28575</xdr:rowOff>
    </xdr:from>
    <xdr:to>
      <xdr:col>3</xdr:col>
      <xdr:colOff>1552575</xdr:colOff>
      <xdr:row>2937</xdr:row>
      <xdr:rowOff>333375</xdr:rowOff>
    </xdr:to>
    <xdr:pic>
      <xdr:nvPicPr>
        <xdr:cNvPr id="1195" name="Имя " descr="Descr ">
          <a:extLst>
            <a:ext uri="{FF2B5EF4-FFF2-40B4-BE49-F238E27FC236}">
              <a16:creationId xmlns:a16="http://schemas.microsoft.com/office/drawing/2014/main" id="{00000000-0008-0000-0000-0000AB040000}"/>
            </a:ext>
          </a:extLst>
        </xdr:cNvPr>
        <xdr:cNvPicPr>
          <a:picLocks noChangeAspect="1"/>
        </xdr:cNvPicPr>
      </xdr:nvPicPr>
      <xdr:blipFill>
        <a:blip xmlns:r="http://schemas.openxmlformats.org/officeDocument/2006/relationships" r:embed="rId1194"/>
        <a:stretch>
          <a:fillRect/>
        </a:stretch>
      </xdr:blipFill>
      <xdr:spPr>
        <a:prstGeom prst="rect">
          <a:avLst/>
        </a:prstGeom>
        <a:ln w="9525">
          <a:solidFill>
            <a:srgbClr val="000000"/>
          </a:solidFill>
          <a:prstDash val="solid"/>
        </a:ln>
      </xdr:spPr>
    </xdr:pic>
    <xdr:clientData/>
  </xdr:twoCellAnchor>
  <xdr:twoCellAnchor>
    <xdr:from>
      <xdr:col>3</xdr:col>
      <xdr:colOff>114300</xdr:colOff>
      <xdr:row>2938</xdr:row>
      <xdr:rowOff>38100</xdr:rowOff>
    </xdr:from>
    <xdr:to>
      <xdr:col>3</xdr:col>
      <xdr:colOff>1552575</xdr:colOff>
      <xdr:row>2939</xdr:row>
      <xdr:rowOff>638175</xdr:rowOff>
    </xdr:to>
    <xdr:pic>
      <xdr:nvPicPr>
        <xdr:cNvPr id="1196" name="Имя " descr="Descr ">
          <a:extLst>
            <a:ext uri="{FF2B5EF4-FFF2-40B4-BE49-F238E27FC236}">
              <a16:creationId xmlns:a16="http://schemas.microsoft.com/office/drawing/2014/main" id="{00000000-0008-0000-0000-0000AC040000}"/>
            </a:ext>
          </a:extLst>
        </xdr:cNvPr>
        <xdr:cNvPicPr>
          <a:picLocks noChangeAspect="1"/>
        </xdr:cNvPicPr>
      </xdr:nvPicPr>
      <xdr:blipFill>
        <a:blip xmlns:r="http://schemas.openxmlformats.org/officeDocument/2006/relationships" r:embed="rId1195"/>
        <a:stretch>
          <a:fillRect/>
        </a:stretch>
      </xdr:blipFill>
      <xdr:spPr>
        <a:prstGeom prst="rect">
          <a:avLst/>
        </a:prstGeom>
        <a:ln w="9525">
          <a:solidFill>
            <a:srgbClr val="000000"/>
          </a:solidFill>
          <a:prstDash val="solid"/>
        </a:ln>
      </xdr:spPr>
    </xdr:pic>
    <xdr:clientData/>
  </xdr:twoCellAnchor>
  <xdr:twoCellAnchor>
    <xdr:from>
      <xdr:col>3</xdr:col>
      <xdr:colOff>114300</xdr:colOff>
      <xdr:row>2940</xdr:row>
      <xdr:rowOff>28575</xdr:rowOff>
    </xdr:from>
    <xdr:to>
      <xdr:col>3</xdr:col>
      <xdr:colOff>1552575</xdr:colOff>
      <xdr:row>2942</xdr:row>
      <xdr:rowOff>419100</xdr:rowOff>
    </xdr:to>
    <xdr:pic>
      <xdr:nvPicPr>
        <xdr:cNvPr id="1197" name="Имя " descr="Descr ">
          <a:extLst>
            <a:ext uri="{FF2B5EF4-FFF2-40B4-BE49-F238E27FC236}">
              <a16:creationId xmlns:a16="http://schemas.microsoft.com/office/drawing/2014/main" id="{00000000-0008-0000-0000-0000AD040000}"/>
            </a:ext>
          </a:extLst>
        </xdr:cNvPr>
        <xdr:cNvPicPr>
          <a:picLocks noChangeAspect="1"/>
        </xdr:cNvPicPr>
      </xdr:nvPicPr>
      <xdr:blipFill>
        <a:blip xmlns:r="http://schemas.openxmlformats.org/officeDocument/2006/relationships" r:embed="rId1196"/>
        <a:stretch>
          <a:fillRect/>
        </a:stretch>
      </xdr:blipFill>
      <xdr:spPr>
        <a:prstGeom prst="rect">
          <a:avLst/>
        </a:prstGeom>
        <a:ln w="9525">
          <a:solidFill>
            <a:srgbClr val="000000"/>
          </a:solidFill>
          <a:prstDash val="solid"/>
        </a:ln>
      </xdr:spPr>
    </xdr:pic>
    <xdr:clientData/>
  </xdr:twoCellAnchor>
  <xdr:twoCellAnchor>
    <xdr:from>
      <xdr:col>3</xdr:col>
      <xdr:colOff>114300</xdr:colOff>
      <xdr:row>2943</xdr:row>
      <xdr:rowOff>28575</xdr:rowOff>
    </xdr:from>
    <xdr:to>
      <xdr:col>3</xdr:col>
      <xdr:colOff>1552575</xdr:colOff>
      <xdr:row>2946</xdr:row>
      <xdr:rowOff>209550</xdr:rowOff>
    </xdr:to>
    <xdr:pic>
      <xdr:nvPicPr>
        <xdr:cNvPr id="1198" name="Имя " descr="Descr ">
          <a:extLst>
            <a:ext uri="{FF2B5EF4-FFF2-40B4-BE49-F238E27FC236}">
              <a16:creationId xmlns:a16="http://schemas.microsoft.com/office/drawing/2014/main" id="{00000000-0008-0000-0000-0000AE040000}"/>
            </a:ext>
          </a:extLst>
        </xdr:cNvPr>
        <xdr:cNvPicPr>
          <a:picLocks noChangeAspect="1"/>
        </xdr:cNvPicPr>
      </xdr:nvPicPr>
      <xdr:blipFill>
        <a:blip xmlns:r="http://schemas.openxmlformats.org/officeDocument/2006/relationships" r:embed="rId1197"/>
        <a:stretch>
          <a:fillRect/>
        </a:stretch>
      </xdr:blipFill>
      <xdr:spPr>
        <a:prstGeom prst="rect">
          <a:avLst/>
        </a:prstGeom>
        <a:ln w="9525">
          <a:solidFill>
            <a:srgbClr val="000000"/>
          </a:solidFill>
          <a:prstDash val="solid"/>
        </a:ln>
      </xdr:spPr>
    </xdr:pic>
    <xdr:clientData/>
  </xdr:twoCellAnchor>
  <xdr:twoCellAnchor>
    <xdr:from>
      <xdr:col>3</xdr:col>
      <xdr:colOff>114300</xdr:colOff>
      <xdr:row>2947</xdr:row>
      <xdr:rowOff>28575</xdr:rowOff>
    </xdr:from>
    <xdr:to>
      <xdr:col>3</xdr:col>
      <xdr:colOff>1552575</xdr:colOff>
      <xdr:row>2949</xdr:row>
      <xdr:rowOff>419100</xdr:rowOff>
    </xdr:to>
    <xdr:pic>
      <xdr:nvPicPr>
        <xdr:cNvPr id="1199" name="Имя " descr="Descr ">
          <a:extLst>
            <a:ext uri="{FF2B5EF4-FFF2-40B4-BE49-F238E27FC236}">
              <a16:creationId xmlns:a16="http://schemas.microsoft.com/office/drawing/2014/main" id="{00000000-0008-0000-0000-0000AF040000}"/>
            </a:ext>
          </a:extLst>
        </xdr:cNvPr>
        <xdr:cNvPicPr>
          <a:picLocks noChangeAspect="1"/>
        </xdr:cNvPicPr>
      </xdr:nvPicPr>
      <xdr:blipFill>
        <a:blip xmlns:r="http://schemas.openxmlformats.org/officeDocument/2006/relationships" r:embed="rId1198"/>
        <a:stretch>
          <a:fillRect/>
        </a:stretch>
      </xdr:blipFill>
      <xdr:spPr>
        <a:prstGeom prst="rect">
          <a:avLst/>
        </a:prstGeom>
        <a:ln w="9525">
          <a:solidFill>
            <a:srgbClr val="000000"/>
          </a:solidFill>
          <a:prstDash val="solid"/>
        </a:ln>
      </xdr:spPr>
    </xdr:pic>
    <xdr:clientData/>
  </xdr:twoCellAnchor>
  <xdr:twoCellAnchor>
    <xdr:from>
      <xdr:col>3</xdr:col>
      <xdr:colOff>114300</xdr:colOff>
      <xdr:row>2950</xdr:row>
      <xdr:rowOff>28575</xdr:rowOff>
    </xdr:from>
    <xdr:to>
      <xdr:col>3</xdr:col>
      <xdr:colOff>1552575</xdr:colOff>
      <xdr:row>2952</xdr:row>
      <xdr:rowOff>419100</xdr:rowOff>
    </xdr:to>
    <xdr:pic>
      <xdr:nvPicPr>
        <xdr:cNvPr id="1200" name="Имя " descr="Descr ">
          <a:extLst>
            <a:ext uri="{FF2B5EF4-FFF2-40B4-BE49-F238E27FC236}">
              <a16:creationId xmlns:a16="http://schemas.microsoft.com/office/drawing/2014/main" id="{00000000-0008-0000-0000-0000B0040000}"/>
            </a:ext>
          </a:extLst>
        </xdr:cNvPr>
        <xdr:cNvPicPr>
          <a:picLocks noChangeAspect="1"/>
        </xdr:cNvPicPr>
      </xdr:nvPicPr>
      <xdr:blipFill>
        <a:blip xmlns:r="http://schemas.openxmlformats.org/officeDocument/2006/relationships" r:embed="rId1199"/>
        <a:stretch>
          <a:fillRect/>
        </a:stretch>
      </xdr:blipFill>
      <xdr:spPr>
        <a:prstGeom prst="rect">
          <a:avLst/>
        </a:prstGeom>
        <a:ln w="9525">
          <a:solidFill>
            <a:srgbClr val="000000"/>
          </a:solidFill>
          <a:prstDash val="solid"/>
        </a:ln>
      </xdr:spPr>
    </xdr:pic>
    <xdr:clientData/>
  </xdr:twoCellAnchor>
  <xdr:twoCellAnchor>
    <xdr:from>
      <xdr:col>3</xdr:col>
      <xdr:colOff>114300</xdr:colOff>
      <xdr:row>2953</xdr:row>
      <xdr:rowOff>28575</xdr:rowOff>
    </xdr:from>
    <xdr:to>
      <xdr:col>3</xdr:col>
      <xdr:colOff>1552575</xdr:colOff>
      <xdr:row>2957</xdr:row>
      <xdr:rowOff>333375</xdr:rowOff>
    </xdr:to>
    <xdr:pic>
      <xdr:nvPicPr>
        <xdr:cNvPr id="1201" name="Имя " descr="Descr ">
          <a:extLst>
            <a:ext uri="{FF2B5EF4-FFF2-40B4-BE49-F238E27FC236}">
              <a16:creationId xmlns:a16="http://schemas.microsoft.com/office/drawing/2014/main" id="{00000000-0008-0000-0000-0000B1040000}"/>
            </a:ext>
          </a:extLst>
        </xdr:cNvPr>
        <xdr:cNvPicPr>
          <a:picLocks noChangeAspect="1"/>
        </xdr:cNvPicPr>
      </xdr:nvPicPr>
      <xdr:blipFill>
        <a:blip xmlns:r="http://schemas.openxmlformats.org/officeDocument/2006/relationships" r:embed="rId1200"/>
        <a:stretch>
          <a:fillRect/>
        </a:stretch>
      </xdr:blipFill>
      <xdr:spPr>
        <a:prstGeom prst="rect">
          <a:avLst/>
        </a:prstGeom>
        <a:ln w="9525">
          <a:solidFill>
            <a:srgbClr val="000000"/>
          </a:solidFill>
          <a:prstDash val="solid"/>
        </a:ln>
      </xdr:spPr>
    </xdr:pic>
    <xdr:clientData/>
  </xdr:twoCellAnchor>
  <xdr:twoCellAnchor>
    <xdr:from>
      <xdr:col>3</xdr:col>
      <xdr:colOff>114300</xdr:colOff>
      <xdr:row>2958</xdr:row>
      <xdr:rowOff>38100</xdr:rowOff>
    </xdr:from>
    <xdr:to>
      <xdr:col>3</xdr:col>
      <xdr:colOff>1552575</xdr:colOff>
      <xdr:row>2959</xdr:row>
      <xdr:rowOff>638175</xdr:rowOff>
    </xdr:to>
    <xdr:pic>
      <xdr:nvPicPr>
        <xdr:cNvPr id="1202" name="Имя " descr="Descr ">
          <a:extLst>
            <a:ext uri="{FF2B5EF4-FFF2-40B4-BE49-F238E27FC236}">
              <a16:creationId xmlns:a16="http://schemas.microsoft.com/office/drawing/2014/main" id="{00000000-0008-0000-0000-0000B2040000}"/>
            </a:ext>
          </a:extLst>
        </xdr:cNvPr>
        <xdr:cNvPicPr>
          <a:picLocks noChangeAspect="1"/>
        </xdr:cNvPicPr>
      </xdr:nvPicPr>
      <xdr:blipFill>
        <a:blip xmlns:r="http://schemas.openxmlformats.org/officeDocument/2006/relationships" r:embed="rId1201"/>
        <a:stretch>
          <a:fillRect/>
        </a:stretch>
      </xdr:blipFill>
      <xdr:spPr>
        <a:prstGeom prst="rect">
          <a:avLst/>
        </a:prstGeom>
        <a:ln w="9525">
          <a:solidFill>
            <a:srgbClr val="000000"/>
          </a:solidFill>
          <a:prstDash val="solid"/>
        </a:ln>
      </xdr:spPr>
    </xdr:pic>
    <xdr:clientData/>
  </xdr:twoCellAnchor>
  <xdr:twoCellAnchor>
    <xdr:from>
      <xdr:col>3</xdr:col>
      <xdr:colOff>114300</xdr:colOff>
      <xdr:row>2960</xdr:row>
      <xdr:rowOff>38100</xdr:rowOff>
    </xdr:from>
    <xdr:to>
      <xdr:col>3</xdr:col>
      <xdr:colOff>1552575</xdr:colOff>
      <xdr:row>2961</xdr:row>
      <xdr:rowOff>638175</xdr:rowOff>
    </xdr:to>
    <xdr:pic>
      <xdr:nvPicPr>
        <xdr:cNvPr id="1203" name="Имя " descr="Descr ">
          <a:extLst>
            <a:ext uri="{FF2B5EF4-FFF2-40B4-BE49-F238E27FC236}">
              <a16:creationId xmlns:a16="http://schemas.microsoft.com/office/drawing/2014/main" id="{00000000-0008-0000-0000-0000B3040000}"/>
            </a:ext>
          </a:extLst>
        </xdr:cNvPr>
        <xdr:cNvPicPr>
          <a:picLocks noChangeAspect="1"/>
        </xdr:cNvPicPr>
      </xdr:nvPicPr>
      <xdr:blipFill>
        <a:blip xmlns:r="http://schemas.openxmlformats.org/officeDocument/2006/relationships" r:embed="rId1202"/>
        <a:stretch>
          <a:fillRect/>
        </a:stretch>
      </xdr:blipFill>
      <xdr:spPr>
        <a:prstGeom prst="rect">
          <a:avLst/>
        </a:prstGeom>
        <a:ln w="9525">
          <a:solidFill>
            <a:srgbClr val="000000"/>
          </a:solidFill>
          <a:prstDash val="solid"/>
        </a:ln>
      </xdr:spPr>
    </xdr:pic>
    <xdr:clientData/>
  </xdr:twoCellAnchor>
  <xdr:twoCellAnchor>
    <xdr:from>
      <xdr:col>3</xdr:col>
      <xdr:colOff>114300</xdr:colOff>
      <xdr:row>2962</xdr:row>
      <xdr:rowOff>28575</xdr:rowOff>
    </xdr:from>
    <xdr:to>
      <xdr:col>3</xdr:col>
      <xdr:colOff>1552575</xdr:colOff>
      <xdr:row>2966</xdr:row>
      <xdr:rowOff>333375</xdr:rowOff>
    </xdr:to>
    <xdr:pic>
      <xdr:nvPicPr>
        <xdr:cNvPr id="1204" name="Имя " descr="Descr ">
          <a:extLst>
            <a:ext uri="{FF2B5EF4-FFF2-40B4-BE49-F238E27FC236}">
              <a16:creationId xmlns:a16="http://schemas.microsoft.com/office/drawing/2014/main" id="{00000000-0008-0000-0000-0000B4040000}"/>
            </a:ext>
          </a:extLst>
        </xdr:cNvPr>
        <xdr:cNvPicPr>
          <a:picLocks noChangeAspect="1"/>
        </xdr:cNvPicPr>
      </xdr:nvPicPr>
      <xdr:blipFill>
        <a:blip xmlns:r="http://schemas.openxmlformats.org/officeDocument/2006/relationships" r:embed="rId1203"/>
        <a:stretch>
          <a:fillRect/>
        </a:stretch>
      </xdr:blipFill>
      <xdr:spPr>
        <a:prstGeom prst="rect">
          <a:avLst/>
        </a:prstGeom>
        <a:ln w="9525">
          <a:solidFill>
            <a:srgbClr val="000000"/>
          </a:solidFill>
          <a:prstDash val="solid"/>
        </a:ln>
      </xdr:spPr>
    </xdr:pic>
    <xdr:clientData/>
  </xdr:twoCellAnchor>
  <xdr:twoCellAnchor>
    <xdr:from>
      <xdr:col>3</xdr:col>
      <xdr:colOff>114300</xdr:colOff>
      <xdr:row>2967</xdr:row>
      <xdr:rowOff>28575</xdr:rowOff>
    </xdr:from>
    <xdr:to>
      <xdr:col>3</xdr:col>
      <xdr:colOff>1552575</xdr:colOff>
      <xdr:row>2967</xdr:row>
      <xdr:rowOff>1266825</xdr:rowOff>
    </xdr:to>
    <xdr:pic>
      <xdr:nvPicPr>
        <xdr:cNvPr id="1205" name="Имя " descr="Descr ">
          <a:extLst>
            <a:ext uri="{FF2B5EF4-FFF2-40B4-BE49-F238E27FC236}">
              <a16:creationId xmlns:a16="http://schemas.microsoft.com/office/drawing/2014/main" id="{00000000-0008-0000-0000-0000B5040000}"/>
            </a:ext>
          </a:extLst>
        </xdr:cNvPr>
        <xdr:cNvPicPr>
          <a:picLocks noChangeAspect="1"/>
        </xdr:cNvPicPr>
      </xdr:nvPicPr>
      <xdr:blipFill>
        <a:blip xmlns:r="http://schemas.openxmlformats.org/officeDocument/2006/relationships" r:embed="rId1204"/>
        <a:stretch>
          <a:fillRect/>
        </a:stretch>
      </xdr:blipFill>
      <xdr:spPr>
        <a:prstGeom prst="rect">
          <a:avLst/>
        </a:prstGeom>
        <a:ln w="9525">
          <a:solidFill>
            <a:srgbClr val="000000"/>
          </a:solidFill>
          <a:prstDash val="solid"/>
        </a:ln>
      </xdr:spPr>
    </xdr:pic>
    <xdr:clientData/>
  </xdr:twoCellAnchor>
  <xdr:twoCellAnchor>
    <xdr:from>
      <xdr:col>3</xdr:col>
      <xdr:colOff>114300</xdr:colOff>
      <xdr:row>2968</xdr:row>
      <xdr:rowOff>38100</xdr:rowOff>
    </xdr:from>
    <xdr:to>
      <xdr:col>3</xdr:col>
      <xdr:colOff>1552575</xdr:colOff>
      <xdr:row>2969</xdr:row>
      <xdr:rowOff>638175</xdr:rowOff>
    </xdr:to>
    <xdr:pic>
      <xdr:nvPicPr>
        <xdr:cNvPr id="1206" name="Имя " descr="Descr ">
          <a:extLst>
            <a:ext uri="{FF2B5EF4-FFF2-40B4-BE49-F238E27FC236}">
              <a16:creationId xmlns:a16="http://schemas.microsoft.com/office/drawing/2014/main" id="{00000000-0008-0000-0000-0000B6040000}"/>
            </a:ext>
          </a:extLst>
        </xdr:cNvPr>
        <xdr:cNvPicPr>
          <a:picLocks noChangeAspect="1"/>
        </xdr:cNvPicPr>
      </xdr:nvPicPr>
      <xdr:blipFill>
        <a:blip xmlns:r="http://schemas.openxmlformats.org/officeDocument/2006/relationships" r:embed="rId1205"/>
        <a:stretch>
          <a:fillRect/>
        </a:stretch>
      </xdr:blipFill>
      <xdr:spPr>
        <a:prstGeom prst="rect">
          <a:avLst/>
        </a:prstGeom>
        <a:ln w="9525">
          <a:solidFill>
            <a:srgbClr val="000000"/>
          </a:solidFill>
          <a:prstDash val="solid"/>
        </a:ln>
      </xdr:spPr>
    </xdr:pic>
    <xdr:clientData/>
  </xdr:twoCellAnchor>
  <xdr:twoCellAnchor>
    <xdr:from>
      <xdr:col>3</xdr:col>
      <xdr:colOff>114300</xdr:colOff>
      <xdr:row>2970</xdr:row>
      <xdr:rowOff>38100</xdr:rowOff>
    </xdr:from>
    <xdr:to>
      <xdr:col>3</xdr:col>
      <xdr:colOff>1552575</xdr:colOff>
      <xdr:row>2971</xdr:row>
      <xdr:rowOff>638175</xdr:rowOff>
    </xdr:to>
    <xdr:pic>
      <xdr:nvPicPr>
        <xdr:cNvPr id="1207" name="Имя " descr="Descr ">
          <a:extLst>
            <a:ext uri="{FF2B5EF4-FFF2-40B4-BE49-F238E27FC236}">
              <a16:creationId xmlns:a16="http://schemas.microsoft.com/office/drawing/2014/main" id="{00000000-0008-0000-0000-0000B7040000}"/>
            </a:ext>
          </a:extLst>
        </xdr:cNvPr>
        <xdr:cNvPicPr>
          <a:picLocks noChangeAspect="1"/>
        </xdr:cNvPicPr>
      </xdr:nvPicPr>
      <xdr:blipFill>
        <a:blip xmlns:r="http://schemas.openxmlformats.org/officeDocument/2006/relationships" r:embed="rId1206"/>
        <a:stretch>
          <a:fillRect/>
        </a:stretch>
      </xdr:blipFill>
      <xdr:spPr>
        <a:prstGeom prst="rect">
          <a:avLst/>
        </a:prstGeom>
        <a:ln w="9525">
          <a:solidFill>
            <a:srgbClr val="000000"/>
          </a:solidFill>
          <a:prstDash val="solid"/>
        </a:ln>
      </xdr:spPr>
    </xdr:pic>
    <xdr:clientData/>
  </xdr:twoCellAnchor>
  <xdr:twoCellAnchor>
    <xdr:from>
      <xdr:col>3</xdr:col>
      <xdr:colOff>114300</xdr:colOff>
      <xdr:row>2972</xdr:row>
      <xdr:rowOff>38100</xdr:rowOff>
    </xdr:from>
    <xdr:to>
      <xdr:col>3</xdr:col>
      <xdr:colOff>1552575</xdr:colOff>
      <xdr:row>2973</xdr:row>
      <xdr:rowOff>638175</xdr:rowOff>
    </xdr:to>
    <xdr:pic>
      <xdr:nvPicPr>
        <xdr:cNvPr id="1208" name="Имя " descr="Descr ">
          <a:extLst>
            <a:ext uri="{FF2B5EF4-FFF2-40B4-BE49-F238E27FC236}">
              <a16:creationId xmlns:a16="http://schemas.microsoft.com/office/drawing/2014/main" id="{00000000-0008-0000-0000-0000B8040000}"/>
            </a:ext>
          </a:extLst>
        </xdr:cNvPr>
        <xdr:cNvPicPr>
          <a:picLocks noChangeAspect="1"/>
        </xdr:cNvPicPr>
      </xdr:nvPicPr>
      <xdr:blipFill>
        <a:blip xmlns:r="http://schemas.openxmlformats.org/officeDocument/2006/relationships" r:embed="rId1207"/>
        <a:stretch>
          <a:fillRect/>
        </a:stretch>
      </xdr:blipFill>
      <xdr:spPr>
        <a:prstGeom prst="rect">
          <a:avLst/>
        </a:prstGeom>
        <a:ln w="9525">
          <a:solidFill>
            <a:srgbClr val="000000"/>
          </a:solidFill>
          <a:prstDash val="solid"/>
        </a:ln>
      </xdr:spPr>
    </xdr:pic>
    <xdr:clientData/>
  </xdr:twoCellAnchor>
  <xdr:twoCellAnchor>
    <xdr:from>
      <xdr:col>3</xdr:col>
      <xdr:colOff>114300</xdr:colOff>
      <xdr:row>2974</xdr:row>
      <xdr:rowOff>38100</xdr:rowOff>
    </xdr:from>
    <xdr:to>
      <xdr:col>3</xdr:col>
      <xdr:colOff>1552575</xdr:colOff>
      <xdr:row>2975</xdr:row>
      <xdr:rowOff>638175</xdr:rowOff>
    </xdr:to>
    <xdr:pic>
      <xdr:nvPicPr>
        <xdr:cNvPr id="1209" name="Имя " descr="Descr ">
          <a:extLst>
            <a:ext uri="{FF2B5EF4-FFF2-40B4-BE49-F238E27FC236}">
              <a16:creationId xmlns:a16="http://schemas.microsoft.com/office/drawing/2014/main" id="{00000000-0008-0000-0000-0000B9040000}"/>
            </a:ext>
          </a:extLst>
        </xdr:cNvPr>
        <xdr:cNvPicPr>
          <a:picLocks noChangeAspect="1"/>
        </xdr:cNvPicPr>
      </xdr:nvPicPr>
      <xdr:blipFill>
        <a:blip xmlns:r="http://schemas.openxmlformats.org/officeDocument/2006/relationships" r:embed="rId1208"/>
        <a:stretch>
          <a:fillRect/>
        </a:stretch>
      </xdr:blipFill>
      <xdr:spPr>
        <a:prstGeom prst="rect">
          <a:avLst/>
        </a:prstGeom>
        <a:ln w="9525">
          <a:solidFill>
            <a:srgbClr val="000000"/>
          </a:solidFill>
          <a:prstDash val="solid"/>
        </a:ln>
      </xdr:spPr>
    </xdr:pic>
    <xdr:clientData/>
  </xdr:twoCellAnchor>
  <xdr:twoCellAnchor>
    <xdr:from>
      <xdr:col>3</xdr:col>
      <xdr:colOff>114300</xdr:colOff>
      <xdr:row>2976</xdr:row>
      <xdr:rowOff>38100</xdr:rowOff>
    </xdr:from>
    <xdr:to>
      <xdr:col>3</xdr:col>
      <xdr:colOff>1552575</xdr:colOff>
      <xdr:row>2977</xdr:row>
      <xdr:rowOff>638175</xdr:rowOff>
    </xdr:to>
    <xdr:pic>
      <xdr:nvPicPr>
        <xdr:cNvPr id="1210" name="Имя " descr="Descr ">
          <a:extLst>
            <a:ext uri="{FF2B5EF4-FFF2-40B4-BE49-F238E27FC236}">
              <a16:creationId xmlns:a16="http://schemas.microsoft.com/office/drawing/2014/main" id="{00000000-0008-0000-0000-0000BA040000}"/>
            </a:ext>
          </a:extLst>
        </xdr:cNvPr>
        <xdr:cNvPicPr>
          <a:picLocks noChangeAspect="1"/>
        </xdr:cNvPicPr>
      </xdr:nvPicPr>
      <xdr:blipFill>
        <a:blip xmlns:r="http://schemas.openxmlformats.org/officeDocument/2006/relationships" r:embed="rId1209"/>
        <a:stretch>
          <a:fillRect/>
        </a:stretch>
      </xdr:blipFill>
      <xdr:spPr>
        <a:prstGeom prst="rect">
          <a:avLst/>
        </a:prstGeom>
        <a:ln w="9525">
          <a:solidFill>
            <a:srgbClr val="000000"/>
          </a:solidFill>
          <a:prstDash val="solid"/>
        </a:ln>
      </xdr:spPr>
    </xdr:pic>
    <xdr:clientData/>
  </xdr:twoCellAnchor>
  <xdr:twoCellAnchor>
    <xdr:from>
      <xdr:col>3</xdr:col>
      <xdr:colOff>114300</xdr:colOff>
      <xdr:row>2978</xdr:row>
      <xdr:rowOff>28575</xdr:rowOff>
    </xdr:from>
    <xdr:to>
      <xdr:col>3</xdr:col>
      <xdr:colOff>1552575</xdr:colOff>
      <xdr:row>2980</xdr:row>
      <xdr:rowOff>419100</xdr:rowOff>
    </xdr:to>
    <xdr:pic>
      <xdr:nvPicPr>
        <xdr:cNvPr id="1211" name="Имя " descr="Descr ">
          <a:extLst>
            <a:ext uri="{FF2B5EF4-FFF2-40B4-BE49-F238E27FC236}">
              <a16:creationId xmlns:a16="http://schemas.microsoft.com/office/drawing/2014/main" id="{00000000-0008-0000-0000-0000BB040000}"/>
            </a:ext>
          </a:extLst>
        </xdr:cNvPr>
        <xdr:cNvPicPr>
          <a:picLocks noChangeAspect="1"/>
        </xdr:cNvPicPr>
      </xdr:nvPicPr>
      <xdr:blipFill>
        <a:blip xmlns:r="http://schemas.openxmlformats.org/officeDocument/2006/relationships" r:embed="rId1210"/>
        <a:stretch>
          <a:fillRect/>
        </a:stretch>
      </xdr:blipFill>
      <xdr:spPr>
        <a:prstGeom prst="rect">
          <a:avLst/>
        </a:prstGeom>
        <a:ln w="9525">
          <a:solidFill>
            <a:srgbClr val="000000"/>
          </a:solidFill>
          <a:prstDash val="solid"/>
        </a:ln>
      </xdr:spPr>
    </xdr:pic>
    <xdr:clientData/>
  </xdr:twoCellAnchor>
  <xdr:twoCellAnchor>
    <xdr:from>
      <xdr:col>3</xdr:col>
      <xdr:colOff>114300</xdr:colOff>
      <xdr:row>2981</xdr:row>
      <xdr:rowOff>38100</xdr:rowOff>
    </xdr:from>
    <xdr:to>
      <xdr:col>3</xdr:col>
      <xdr:colOff>1552575</xdr:colOff>
      <xdr:row>2982</xdr:row>
      <xdr:rowOff>638175</xdr:rowOff>
    </xdr:to>
    <xdr:pic>
      <xdr:nvPicPr>
        <xdr:cNvPr id="1212" name="Имя " descr="Descr ">
          <a:extLst>
            <a:ext uri="{FF2B5EF4-FFF2-40B4-BE49-F238E27FC236}">
              <a16:creationId xmlns:a16="http://schemas.microsoft.com/office/drawing/2014/main" id="{00000000-0008-0000-0000-0000BC040000}"/>
            </a:ext>
          </a:extLst>
        </xdr:cNvPr>
        <xdr:cNvPicPr>
          <a:picLocks noChangeAspect="1"/>
        </xdr:cNvPicPr>
      </xdr:nvPicPr>
      <xdr:blipFill>
        <a:blip xmlns:r="http://schemas.openxmlformats.org/officeDocument/2006/relationships" r:embed="rId1211"/>
        <a:stretch>
          <a:fillRect/>
        </a:stretch>
      </xdr:blipFill>
      <xdr:spPr>
        <a:prstGeom prst="rect">
          <a:avLst/>
        </a:prstGeom>
        <a:ln w="9525">
          <a:solidFill>
            <a:srgbClr val="000000"/>
          </a:solidFill>
          <a:prstDash val="solid"/>
        </a:ln>
      </xdr:spPr>
    </xdr:pic>
    <xdr:clientData/>
  </xdr:twoCellAnchor>
  <xdr:twoCellAnchor>
    <xdr:from>
      <xdr:col>3</xdr:col>
      <xdr:colOff>114300</xdr:colOff>
      <xdr:row>2983</xdr:row>
      <xdr:rowOff>28575</xdr:rowOff>
    </xdr:from>
    <xdr:to>
      <xdr:col>3</xdr:col>
      <xdr:colOff>1552575</xdr:colOff>
      <xdr:row>2983</xdr:row>
      <xdr:rowOff>1266825</xdr:rowOff>
    </xdr:to>
    <xdr:pic>
      <xdr:nvPicPr>
        <xdr:cNvPr id="1213" name="Имя " descr="Descr ">
          <a:extLst>
            <a:ext uri="{FF2B5EF4-FFF2-40B4-BE49-F238E27FC236}">
              <a16:creationId xmlns:a16="http://schemas.microsoft.com/office/drawing/2014/main" id="{00000000-0008-0000-0000-0000BD040000}"/>
            </a:ext>
          </a:extLst>
        </xdr:cNvPr>
        <xdr:cNvPicPr>
          <a:picLocks noChangeAspect="1"/>
        </xdr:cNvPicPr>
      </xdr:nvPicPr>
      <xdr:blipFill>
        <a:blip xmlns:r="http://schemas.openxmlformats.org/officeDocument/2006/relationships" r:embed="rId1212"/>
        <a:stretch>
          <a:fillRect/>
        </a:stretch>
      </xdr:blipFill>
      <xdr:spPr>
        <a:prstGeom prst="rect">
          <a:avLst/>
        </a:prstGeom>
        <a:ln w="9525">
          <a:solidFill>
            <a:srgbClr val="000000"/>
          </a:solidFill>
          <a:prstDash val="solid"/>
        </a:ln>
      </xdr:spPr>
    </xdr:pic>
    <xdr:clientData/>
  </xdr:twoCellAnchor>
  <xdr:twoCellAnchor>
    <xdr:from>
      <xdr:col>3</xdr:col>
      <xdr:colOff>114300</xdr:colOff>
      <xdr:row>2984</xdr:row>
      <xdr:rowOff>38100</xdr:rowOff>
    </xdr:from>
    <xdr:to>
      <xdr:col>3</xdr:col>
      <xdr:colOff>1552575</xdr:colOff>
      <xdr:row>2985</xdr:row>
      <xdr:rowOff>638175</xdr:rowOff>
    </xdr:to>
    <xdr:pic>
      <xdr:nvPicPr>
        <xdr:cNvPr id="1214" name="Имя " descr="Descr ">
          <a:extLst>
            <a:ext uri="{FF2B5EF4-FFF2-40B4-BE49-F238E27FC236}">
              <a16:creationId xmlns:a16="http://schemas.microsoft.com/office/drawing/2014/main" id="{00000000-0008-0000-0000-0000BE040000}"/>
            </a:ext>
          </a:extLst>
        </xdr:cNvPr>
        <xdr:cNvPicPr>
          <a:picLocks noChangeAspect="1"/>
        </xdr:cNvPicPr>
      </xdr:nvPicPr>
      <xdr:blipFill>
        <a:blip xmlns:r="http://schemas.openxmlformats.org/officeDocument/2006/relationships" r:embed="rId1213"/>
        <a:stretch>
          <a:fillRect/>
        </a:stretch>
      </xdr:blipFill>
      <xdr:spPr>
        <a:prstGeom prst="rect">
          <a:avLst/>
        </a:prstGeom>
        <a:ln w="9525">
          <a:solidFill>
            <a:srgbClr val="000000"/>
          </a:solidFill>
          <a:prstDash val="solid"/>
        </a:ln>
      </xdr:spPr>
    </xdr:pic>
    <xdr:clientData/>
  </xdr:twoCellAnchor>
  <xdr:twoCellAnchor>
    <xdr:from>
      <xdr:col>3</xdr:col>
      <xdr:colOff>114300</xdr:colOff>
      <xdr:row>2986</xdr:row>
      <xdr:rowOff>28575</xdr:rowOff>
    </xdr:from>
    <xdr:to>
      <xdr:col>3</xdr:col>
      <xdr:colOff>1552575</xdr:colOff>
      <xdr:row>2986</xdr:row>
      <xdr:rowOff>1266825</xdr:rowOff>
    </xdr:to>
    <xdr:pic>
      <xdr:nvPicPr>
        <xdr:cNvPr id="1215" name="Имя " descr="Descr ">
          <a:extLst>
            <a:ext uri="{FF2B5EF4-FFF2-40B4-BE49-F238E27FC236}">
              <a16:creationId xmlns:a16="http://schemas.microsoft.com/office/drawing/2014/main" id="{00000000-0008-0000-0000-0000BF040000}"/>
            </a:ext>
          </a:extLst>
        </xdr:cNvPr>
        <xdr:cNvPicPr>
          <a:picLocks noChangeAspect="1"/>
        </xdr:cNvPicPr>
      </xdr:nvPicPr>
      <xdr:blipFill>
        <a:blip xmlns:r="http://schemas.openxmlformats.org/officeDocument/2006/relationships" r:embed="rId1214"/>
        <a:stretch>
          <a:fillRect/>
        </a:stretch>
      </xdr:blipFill>
      <xdr:spPr>
        <a:prstGeom prst="rect">
          <a:avLst/>
        </a:prstGeom>
        <a:ln w="9525">
          <a:solidFill>
            <a:srgbClr val="000000"/>
          </a:solidFill>
          <a:prstDash val="solid"/>
        </a:ln>
      </xdr:spPr>
    </xdr:pic>
    <xdr:clientData/>
  </xdr:twoCellAnchor>
  <xdr:twoCellAnchor>
    <xdr:from>
      <xdr:col>3</xdr:col>
      <xdr:colOff>114300</xdr:colOff>
      <xdr:row>2987</xdr:row>
      <xdr:rowOff>38100</xdr:rowOff>
    </xdr:from>
    <xdr:to>
      <xdr:col>3</xdr:col>
      <xdr:colOff>1552575</xdr:colOff>
      <xdr:row>2988</xdr:row>
      <xdr:rowOff>638175</xdr:rowOff>
    </xdr:to>
    <xdr:pic>
      <xdr:nvPicPr>
        <xdr:cNvPr id="1216" name="Имя " descr="Descr ">
          <a:extLst>
            <a:ext uri="{FF2B5EF4-FFF2-40B4-BE49-F238E27FC236}">
              <a16:creationId xmlns:a16="http://schemas.microsoft.com/office/drawing/2014/main" id="{00000000-0008-0000-0000-0000C0040000}"/>
            </a:ext>
          </a:extLst>
        </xdr:cNvPr>
        <xdr:cNvPicPr>
          <a:picLocks noChangeAspect="1"/>
        </xdr:cNvPicPr>
      </xdr:nvPicPr>
      <xdr:blipFill>
        <a:blip xmlns:r="http://schemas.openxmlformats.org/officeDocument/2006/relationships" r:embed="rId1215"/>
        <a:stretch>
          <a:fillRect/>
        </a:stretch>
      </xdr:blipFill>
      <xdr:spPr>
        <a:prstGeom prst="rect">
          <a:avLst/>
        </a:prstGeom>
        <a:ln w="9525">
          <a:solidFill>
            <a:srgbClr val="000000"/>
          </a:solidFill>
          <a:prstDash val="solid"/>
        </a:ln>
      </xdr:spPr>
    </xdr:pic>
    <xdr:clientData/>
  </xdr:twoCellAnchor>
  <xdr:twoCellAnchor>
    <xdr:from>
      <xdr:col>3</xdr:col>
      <xdr:colOff>114300</xdr:colOff>
      <xdr:row>2989</xdr:row>
      <xdr:rowOff>38100</xdr:rowOff>
    </xdr:from>
    <xdr:to>
      <xdr:col>3</xdr:col>
      <xdr:colOff>1552575</xdr:colOff>
      <xdr:row>2990</xdr:row>
      <xdr:rowOff>638175</xdr:rowOff>
    </xdr:to>
    <xdr:pic>
      <xdr:nvPicPr>
        <xdr:cNvPr id="1217" name="Имя " descr="Descr ">
          <a:extLst>
            <a:ext uri="{FF2B5EF4-FFF2-40B4-BE49-F238E27FC236}">
              <a16:creationId xmlns:a16="http://schemas.microsoft.com/office/drawing/2014/main" id="{00000000-0008-0000-0000-0000C1040000}"/>
            </a:ext>
          </a:extLst>
        </xdr:cNvPr>
        <xdr:cNvPicPr>
          <a:picLocks noChangeAspect="1"/>
        </xdr:cNvPicPr>
      </xdr:nvPicPr>
      <xdr:blipFill>
        <a:blip xmlns:r="http://schemas.openxmlformats.org/officeDocument/2006/relationships" r:embed="rId1216"/>
        <a:stretch>
          <a:fillRect/>
        </a:stretch>
      </xdr:blipFill>
      <xdr:spPr>
        <a:prstGeom prst="rect">
          <a:avLst/>
        </a:prstGeom>
        <a:ln w="9525">
          <a:solidFill>
            <a:srgbClr val="000000"/>
          </a:solidFill>
          <a:prstDash val="solid"/>
        </a:ln>
      </xdr:spPr>
    </xdr:pic>
    <xdr:clientData/>
  </xdr:twoCellAnchor>
  <xdr:twoCellAnchor>
    <xdr:from>
      <xdr:col>3</xdr:col>
      <xdr:colOff>114300</xdr:colOff>
      <xdr:row>2991</xdr:row>
      <xdr:rowOff>28575</xdr:rowOff>
    </xdr:from>
    <xdr:to>
      <xdr:col>3</xdr:col>
      <xdr:colOff>1552575</xdr:colOff>
      <xdr:row>2991</xdr:row>
      <xdr:rowOff>1266825</xdr:rowOff>
    </xdr:to>
    <xdr:pic>
      <xdr:nvPicPr>
        <xdr:cNvPr id="1218" name="Имя " descr="Descr ">
          <a:extLst>
            <a:ext uri="{FF2B5EF4-FFF2-40B4-BE49-F238E27FC236}">
              <a16:creationId xmlns:a16="http://schemas.microsoft.com/office/drawing/2014/main" id="{00000000-0008-0000-0000-0000C2040000}"/>
            </a:ext>
          </a:extLst>
        </xdr:cNvPr>
        <xdr:cNvPicPr>
          <a:picLocks noChangeAspect="1"/>
        </xdr:cNvPicPr>
      </xdr:nvPicPr>
      <xdr:blipFill>
        <a:blip xmlns:r="http://schemas.openxmlformats.org/officeDocument/2006/relationships" r:embed="rId1217"/>
        <a:stretch>
          <a:fillRect/>
        </a:stretch>
      </xdr:blipFill>
      <xdr:spPr>
        <a:prstGeom prst="rect">
          <a:avLst/>
        </a:prstGeom>
        <a:ln w="9525">
          <a:solidFill>
            <a:srgbClr val="000000"/>
          </a:solidFill>
          <a:prstDash val="solid"/>
        </a:ln>
      </xdr:spPr>
    </xdr:pic>
    <xdr:clientData/>
  </xdr:twoCellAnchor>
  <xdr:twoCellAnchor>
    <xdr:from>
      <xdr:col>3</xdr:col>
      <xdr:colOff>114300</xdr:colOff>
      <xdr:row>2992</xdr:row>
      <xdr:rowOff>28575</xdr:rowOff>
    </xdr:from>
    <xdr:to>
      <xdr:col>3</xdr:col>
      <xdr:colOff>1552575</xdr:colOff>
      <xdr:row>2995</xdr:row>
      <xdr:rowOff>209550</xdr:rowOff>
    </xdr:to>
    <xdr:pic>
      <xdr:nvPicPr>
        <xdr:cNvPr id="1219" name="Имя " descr="Descr ">
          <a:extLst>
            <a:ext uri="{FF2B5EF4-FFF2-40B4-BE49-F238E27FC236}">
              <a16:creationId xmlns:a16="http://schemas.microsoft.com/office/drawing/2014/main" id="{00000000-0008-0000-0000-0000C3040000}"/>
            </a:ext>
          </a:extLst>
        </xdr:cNvPr>
        <xdr:cNvPicPr>
          <a:picLocks noChangeAspect="1"/>
        </xdr:cNvPicPr>
      </xdr:nvPicPr>
      <xdr:blipFill>
        <a:blip xmlns:r="http://schemas.openxmlformats.org/officeDocument/2006/relationships" r:embed="rId1218"/>
        <a:stretch>
          <a:fillRect/>
        </a:stretch>
      </xdr:blipFill>
      <xdr:spPr>
        <a:prstGeom prst="rect">
          <a:avLst/>
        </a:prstGeom>
        <a:ln w="9525">
          <a:solidFill>
            <a:srgbClr val="000000"/>
          </a:solidFill>
          <a:prstDash val="solid"/>
        </a:ln>
      </xdr:spPr>
    </xdr:pic>
    <xdr:clientData/>
  </xdr:twoCellAnchor>
  <xdr:twoCellAnchor>
    <xdr:from>
      <xdr:col>3</xdr:col>
      <xdr:colOff>114300</xdr:colOff>
      <xdr:row>2996</xdr:row>
      <xdr:rowOff>28575</xdr:rowOff>
    </xdr:from>
    <xdr:to>
      <xdr:col>3</xdr:col>
      <xdr:colOff>1552575</xdr:colOff>
      <xdr:row>2996</xdr:row>
      <xdr:rowOff>1266825</xdr:rowOff>
    </xdr:to>
    <xdr:pic>
      <xdr:nvPicPr>
        <xdr:cNvPr id="1220" name="Имя " descr="Descr ">
          <a:extLst>
            <a:ext uri="{FF2B5EF4-FFF2-40B4-BE49-F238E27FC236}">
              <a16:creationId xmlns:a16="http://schemas.microsoft.com/office/drawing/2014/main" id="{00000000-0008-0000-0000-0000C4040000}"/>
            </a:ext>
          </a:extLst>
        </xdr:cNvPr>
        <xdr:cNvPicPr>
          <a:picLocks noChangeAspect="1"/>
        </xdr:cNvPicPr>
      </xdr:nvPicPr>
      <xdr:blipFill>
        <a:blip xmlns:r="http://schemas.openxmlformats.org/officeDocument/2006/relationships" r:embed="rId1219"/>
        <a:stretch>
          <a:fillRect/>
        </a:stretch>
      </xdr:blipFill>
      <xdr:spPr>
        <a:prstGeom prst="rect">
          <a:avLst/>
        </a:prstGeom>
        <a:ln w="9525">
          <a:solidFill>
            <a:srgbClr val="000000"/>
          </a:solidFill>
          <a:prstDash val="solid"/>
        </a:ln>
      </xdr:spPr>
    </xdr:pic>
    <xdr:clientData/>
  </xdr:twoCellAnchor>
  <xdr:twoCellAnchor>
    <xdr:from>
      <xdr:col>3</xdr:col>
      <xdr:colOff>114300</xdr:colOff>
      <xdr:row>2997</xdr:row>
      <xdr:rowOff>28575</xdr:rowOff>
    </xdr:from>
    <xdr:to>
      <xdr:col>3</xdr:col>
      <xdr:colOff>1552575</xdr:colOff>
      <xdr:row>2999</xdr:row>
      <xdr:rowOff>419100</xdr:rowOff>
    </xdr:to>
    <xdr:pic>
      <xdr:nvPicPr>
        <xdr:cNvPr id="1221" name="Имя " descr="Descr ">
          <a:extLst>
            <a:ext uri="{FF2B5EF4-FFF2-40B4-BE49-F238E27FC236}">
              <a16:creationId xmlns:a16="http://schemas.microsoft.com/office/drawing/2014/main" id="{00000000-0008-0000-0000-0000C5040000}"/>
            </a:ext>
          </a:extLst>
        </xdr:cNvPr>
        <xdr:cNvPicPr>
          <a:picLocks noChangeAspect="1"/>
        </xdr:cNvPicPr>
      </xdr:nvPicPr>
      <xdr:blipFill>
        <a:blip xmlns:r="http://schemas.openxmlformats.org/officeDocument/2006/relationships" r:embed="rId1220"/>
        <a:stretch>
          <a:fillRect/>
        </a:stretch>
      </xdr:blipFill>
      <xdr:spPr>
        <a:prstGeom prst="rect">
          <a:avLst/>
        </a:prstGeom>
        <a:ln w="9525">
          <a:solidFill>
            <a:srgbClr val="000000"/>
          </a:solidFill>
          <a:prstDash val="solid"/>
        </a:ln>
      </xdr:spPr>
    </xdr:pic>
    <xdr:clientData/>
  </xdr:twoCellAnchor>
  <xdr:twoCellAnchor>
    <xdr:from>
      <xdr:col>3</xdr:col>
      <xdr:colOff>114300</xdr:colOff>
      <xdr:row>3000</xdr:row>
      <xdr:rowOff>28575</xdr:rowOff>
    </xdr:from>
    <xdr:to>
      <xdr:col>3</xdr:col>
      <xdr:colOff>1552575</xdr:colOff>
      <xdr:row>3000</xdr:row>
      <xdr:rowOff>1266825</xdr:rowOff>
    </xdr:to>
    <xdr:pic>
      <xdr:nvPicPr>
        <xdr:cNvPr id="1222" name="Имя " descr="Descr ">
          <a:extLst>
            <a:ext uri="{FF2B5EF4-FFF2-40B4-BE49-F238E27FC236}">
              <a16:creationId xmlns:a16="http://schemas.microsoft.com/office/drawing/2014/main" id="{00000000-0008-0000-0000-0000C6040000}"/>
            </a:ext>
          </a:extLst>
        </xdr:cNvPr>
        <xdr:cNvPicPr>
          <a:picLocks noChangeAspect="1"/>
        </xdr:cNvPicPr>
      </xdr:nvPicPr>
      <xdr:blipFill>
        <a:blip xmlns:r="http://schemas.openxmlformats.org/officeDocument/2006/relationships" r:embed="rId1221"/>
        <a:stretch>
          <a:fillRect/>
        </a:stretch>
      </xdr:blipFill>
      <xdr:spPr>
        <a:prstGeom prst="rect">
          <a:avLst/>
        </a:prstGeom>
        <a:ln w="9525">
          <a:solidFill>
            <a:srgbClr val="000000"/>
          </a:solidFill>
          <a:prstDash val="solid"/>
        </a:ln>
      </xdr:spPr>
    </xdr:pic>
    <xdr:clientData/>
  </xdr:twoCellAnchor>
  <xdr:twoCellAnchor>
    <xdr:from>
      <xdr:col>3</xdr:col>
      <xdr:colOff>114300</xdr:colOff>
      <xdr:row>3001</xdr:row>
      <xdr:rowOff>28575</xdr:rowOff>
    </xdr:from>
    <xdr:to>
      <xdr:col>3</xdr:col>
      <xdr:colOff>1552575</xdr:colOff>
      <xdr:row>3005</xdr:row>
      <xdr:rowOff>333375</xdr:rowOff>
    </xdr:to>
    <xdr:pic>
      <xdr:nvPicPr>
        <xdr:cNvPr id="1223" name="Имя " descr="Descr ">
          <a:extLst>
            <a:ext uri="{FF2B5EF4-FFF2-40B4-BE49-F238E27FC236}">
              <a16:creationId xmlns:a16="http://schemas.microsoft.com/office/drawing/2014/main" id="{00000000-0008-0000-0000-0000C7040000}"/>
            </a:ext>
          </a:extLst>
        </xdr:cNvPr>
        <xdr:cNvPicPr>
          <a:picLocks noChangeAspect="1"/>
        </xdr:cNvPicPr>
      </xdr:nvPicPr>
      <xdr:blipFill>
        <a:blip xmlns:r="http://schemas.openxmlformats.org/officeDocument/2006/relationships" r:embed="rId1222"/>
        <a:stretch>
          <a:fillRect/>
        </a:stretch>
      </xdr:blipFill>
      <xdr:spPr>
        <a:prstGeom prst="rect">
          <a:avLst/>
        </a:prstGeom>
        <a:ln w="9525">
          <a:solidFill>
            <a:srgbClr val="000000"/>
          </a:solidFill>
          <a:prstDash val="solid"/>
        </a:ln>
      </xdr:spPr>
    </xdr:pic>
    <xdr:clientData/>
  </xdr:twoCellAnchor>
  <xdr:twoCellAnchor>
    <xdr:from>
      <xdr:col>3</xdr:col>
      <xdr:colOff>114300</xdr:colOff>
      <xdr:row>3006</xdr:row>
      <xdr:rowOff>28575</xdr:rowOff>
    </xdr:from>
    <xdr:to>
      <xdr:col>3</xdr:col>
      <xdr:colOff>1552575</xdr:colOff>
      <xdr:row>3009</xdr:row>
      <xdr:rowOff>209550</xdr:rowOff>
    </xdr:to>
    <xdr:pic>
      <xdr:nvPicPr>
        <xdr:cNvPr id="1224" name="Имя " descr="Descr ">
          <a:extLst>
            <a:ext uri="{FF2B5EF4-FFF2-40B4-BE49-F238E27FC236}">
              <a16:creationId xmlns:a16="http://schemas.microsoft.com/office/drawing/2014/main" id="{00000000-0008-0000-0000-0000C8040000}"/>
            </a:ext>
          </a:extLst>
        </xdr:cNvPr>
        <xdr:cNvPicPr>
          <a:picLocks noChangeAspect="1"/>
        </xdr:cNvPicPr>
      </xdr:nvPicPr>
      <xdr:blipFill>
        <a:blip xmlns:r="http://schemas.openxmlformats.org/officeDocument/2006/relationships" r:embed="rId1223"/>
        <a:stretch>
          <a:fillRect/>
        </a:stretch>
      </xdr:blipFill>
      <xdr:spPr>
        <a:prstGeom prst="rect">
          <a:avLst/>
        </a:prstGeom>
        <a:ln w="9525">
          <a:solidFill>
            <a:srgbClr val="000000"/>
          </a:solidFill>
          <a:prstDash val="solid"/>
        </a:ln>
      </xdr:spPr>
    </xdr:pic>
    <xdr:clientData/>
  </xdr:twoCellAnchor>
  <xdr:twoCellAnchor>
    <xdr:from>
      <xdr:col>3</xdr:col>
      <xdr:colOff>114300</xdr:colOff>
      <xdr:row>3010</xdr:row>
      <xdr:rowOff>28575</xdr:rowOff>
    </xdr:from>
    <xdr:to>
      <xdr:col>3</xdr:col>
      <xdr:colOff>1552575</xdr:colOff>
      <xdr:row>3013</xdr:row>
      <xdr:rowOff>209550</xdr:rowOff>
    </xdr:to>
    <xdr:pic>
      <xdr:nvPicPr>
        <xdr:cNvPr id="1225" name="Имя " descr="Descr ">
          <a:extLst>
            <a:ext uri="{FF2B5EF4-FFF2-40B4-BE49-F238E27FC236}">
              <a16:creationId xmlns:a16="http://schemas.microsoft.com/office/drawing/2014/main" id="{00000000-0008-0000-0000-0000C9040000}"/>
            </a:ext>
          </a:extLst>
        </xdr:cNvPr>
        <xdr:cNvPicPr>
          <a:picLocks noChangeAspect="1"/>
        </xdr:cNvPicPr>
      </xdr:nvPicPr>
      <xdr:blipFill>
        <a:blip xmlns:r="http://schemas.openxmlformats.org/officeDocument/2006/relationships" r:embed="rId1224"/>
        <a:stretch>
          <a:fillRect/>
        </a:stretch>
      </xdr:blipFill>
      <xdr:spPr>
        <a:prstGeom prst="rect">
          <a:avLst/>
        </a:prstGeom>
        <a:ln w="9525">
          <a:solidFill>
            <a:srgbClr val="000000"/>
          </a:solidFill>
          <a:prstDash val="solid"/>
        </a:ln>
      </xdr:spPr>
    </xdr:pic>
    <xdr:clientData/>
  </xdr:twoCellAnchor>
  <xdr:twoCellAnchor>
    <xdr:from>
      <xdr:col>3</xdr:col>
      <xdr:colOff>114300</xdr:colOff>
      <xdr:row>3014</xdr:row>
      <xdr:rowOff>28575</xdr:rowOff>
    </xdr:from>
    <xdr:to>
      <xdr:col>3</xdr:col>
      <xdr:colOff>1552575</xdr:colOff>
      <xdr:row>3017</xdr:row>
      <xdr:rowOff>209550</xdr:rowOff>
    </xdr:to>
    <xdr:pic>
      <xdr:nvPicPr>
        <xdr:cNvPr id="1226" name="Имя " descr="Descr ">
          <a:extLst>
            <a:ext uri="{FF2B5EF4-FFF2-40B4-BE49-F238E27FC236}">
              <a16:creationId xmlns:a16="http://schemas.microsoft.com/office/drawing/2014/main" id="{00000000-0008-0000-0000-0000CA040000}"/>
            </a:ext>
          </a:extLst>
        </xdr:cNvPr>
        <xdr:cNvPicPr>
          <a:picLocks noChangeAspect="1"/>
        </xdr:cNvPicPr>
      </xdr:nvPicPr>
      <xdr:blipFill>
        <a:blip xmlns:r="http://schemas.openxmlformats.org/officeDocument/2006/relationships" r:embed="rId1225"/>
        <a:stretch>
          <a:fillRect/>
        </a:stretch>
      </xdr:blipFill>
      <xdr:spPr>
        <a:prstGeom prst="rect">
          <a:avLst/>
        </a:prstGeom>
        <a:ln w="9525">
          <a:solidFill>
            <a:srgbClr val="000000"/>
          </a:solidFill>
          <a:prstDash val="solid"/>
        </a:ln>
      </xdr:spPr>
    </xdr:pic>
    <xdr:clientData/>
  </xdr:twoCellAnchor>
  <xdr:twoCellAnchor>
    <xdr:from>
      <xdr:col>3</xdr:col>
      <xdr:colOff>114300</xdr:colOff>
      <xdr:row>3018</xdr:row>
      <xdr:rowOff>28575</xdr:rowOff>
    </xdr:from>
    <xdr:to>
      <xdr:col>3</xdr:col>
      <xdr:colOff>1552575</xdr:colOff>
      <xdr:row>3021</xdr:row>
      <xdr:rowOff>209550</xdr:rowOff>
    </xdr:to>
    <xdr:pic>
      <xdr:nvPicPr>
        <xdr:cNvPr id="1227" name="Имя " descr="Descr ">
          <a:extLst>
            <a:ext uri="{FF2B5EF4-FFF2-40B4-BE49-F238E27FC236}">
              <a16:creationId xmlns:a16="http://schemas.microsoft.com/office/drawing/2014/main" id="{00000000-0008-0000-0000-0000CB040000}"/>
            </a:ext>
          </a:extLst>
        </xdr:cNvPr>
        <xdr:cNvPicPr>
          <a:picLocks noChangeAspect="1"/>
        </xdr:cNvPicPr>
      </xdr:nvPicPr>
      <xdr:blipFill>
        <a:blip xmlns:r="http://schemas.openxmlformats.org/officeDocument/2006/relationships" r:embed="rId1226"/>
        <a:stretch>
          <a:fillRect/>
        </a:stretch>
      </xdr:blipFill>
      <xdr:spPr>
        <a:prstGeom prst="rect">
          <a:avLst/>
        </a:prstGeom>
        <a:ln w="9525">
          <a:solidFill>
            <a:srgbClr val="000000"/>
          </a:solidFill>
          <a:prstDash val="solid"/>
        </a:ln>
      </xdr:spPr>
    </xdr:pic>
    <xdr:clientData/>
  </xdr:twoCellAnchor>
  <xdr:twoCellAnchor>
    <xdr:from>
      <xdr:col>3</xdr:col>
      <xdr:colOff>114300</xdr:colOff>
      <xdr:row>3022</xdr:row>
      <xdr:rowOff>28575</xdr:rowOff>
    </xdr:from>
    <xdr:to>
      <xdr:col>3</xdr:col>
      <xdr:colOff>1552575</xdr:colOff>
      <xdr:row>3022</xdr:row>
      <xdr:rowOff>1266825</xdr:rowOff>
    </xdr:to>
    <xdr:pic>
      <xdr:nvPicPr>
        <xdr:cNvPr id="1228" name="Имя " descr="Descr ">
          <a:extLst>
            <a:ext uri="{FF2B5EF4-FFF2-40B4-BE49-F238E27FC236}">
              <a16:creationId xmlns:a16="http://schemas.microsoft.com/office/drawing/2014/main" id="{00000000-0008-0000-0000-0000CC040000}"/>
            </a:ext>
          </a:extLst>
        </xdr:cNvPr>
        <xdr:cNvPicPr>
          <a:picLocks noChangeAspect="1"/>
        </xdr:cNvPicPr>
      </xdr:nvPicPr>
      <xdr:blipFill>
        <a:blip xmlns:r="http://schemas.openxmlformats.org/officeDocument/2006/relationships" r:embed="rId1227"/>
        <a:stretch>
          <a:fillRect/>
        </a:stretch>
      </xdr:blipFill>
      <xdr:spPr>
        <a:prstGeom prst="rect">
          <a:avLst/>
        </a:prstGeom>
        <a:ln w="9525">
          <a:solidFill>
            <a:srgbClr val="000000"/>
          </a:solidFill>
          <a:prstDash val="solid"/>
        </a:ln>
      </xdr:spPr>
    </xdr:pic>
    <xdr:clientData/>
  </xdr:twoCellAnchor>
  <xdr:twoCellAnchor>
    <xdr:from>
      <xdr:col>3</xdr:col>
      <xdr:colOff>114300</xdr:colOff>
      <xdr:row>3023</xdr:row>
      <xdr:rowOff>38100</xdr:rowOff>
    </xdr:from>
    <xdr:to>
      <xdr:col>3</xdr:col>
      <xdr:colOff>1552575</xdr:colOff>
      <xdr:row>3024</xdr:row>
      <xdr:rowOff>638175</xdr:rowOff>
    </xdr:to>
    <xdr:pic>
      <xdr:nvPicPr>
        <xdr:cNvPr id="1229" name="Имя " descr="Descr ">
          <a:extLst>
            <a:ext uri="{FF2B5EF4-FFF2-40B4-BE49-F238E27FC236}">
              <a16:creationId xmlns:a16="http://schemas.microsoft.com/office/drawing/2014/main" id="{00000000-0008-0000-0000-0000CD040000}"/>
            </a:ext>
          </a:extLst>
        </xdr:cNvPr>
        <xdr:cNvPicPr>
          <a:picLocks noChangeAspect="1"/>
        </xdr:cNvPicPr>
      </xdr:nvPicPr>
      <xdr:blipFill>
        <a:blip xmlns:r="http://schemas.openxmlformats.org/officeDocument/2006/relationships" r:embed="rId1228"/>
        <a:stretch>
          <a:fillRect/>
        </a:stretch>
      </xdr:blipFill>
      <xdr:spPr>
        <a:prstGeom prst="rect">
          <a:avLst/>
        </a:prstGeom>
        <a:ln w="9525">
          <a:solidFill>
            <a:srgbClr val="000000"/>
          </a:solidFill>
          <a:prstDash val="solid"/>
        </a:ln>
      </xdr:spPr>
    </xdr:pic>
    <xdr:clientData/>
  </xdr:twoCellAnchor>
  <xdr:twoCellAnchor>
    <xdr:from>
      <xdr:col>3</xdr:col>
      <xdr:colOff>114300</xdr:colOff>
      <xdr:row>3025</xdr:row>
      <xdr:rowOff>28575</xdr:rowOff>
    </xdr:from>
    <xdr:to>
      <xdr:col>3</xdr:col>
      <xdr:colOff>1552575</xdr:colOff>
      <xdr:row>3025</xdr:row>
      <xdr:rowOff>1266825</xdr:rowOff>
    </xdr:to>
    <xdr:pic>
      <xdr:nvPicPr>
        <xdr:cNvPr id="1230" name="Имя " descr="Descr ">
          <a:extLst>
            <a:ext uri="{FF2B5EF4-FFF2-40B4-BE49-F238E27FC236}">
              <a16:creationId xmlns:a16="http://schemas.microsoft.com/office/drawing/2014/main" id="{00000000-0008-0000-0000-0000CE040000}"/>
            </a:ext>
          </a:extLst>
        </xdr:cNvPr>
        <xdr:cNvPicPr>
          <a:picLocks noChangeAspect="1"/>
        </xdr:cNvPicPr>
      </xdr:nvPicPr>
      <xdr:blipFill>
        <a:blip xmlns:r="http://schemas.openxmlformats.org/officeDocument/2006/relationships" r:embed="rId1229"/>
        <a:stretch>
          <a:fillRect/>
        </a:stretch>
      </xdr:blipFill>
      <xdr:spPr>
        <a:prstGeom prst="rect">
          <a:avLst/>
        </a:prstGeom>
        <a:ln w="9525">
          <a:solidFill>
            <a:srgbClr val="000000"/>
          </a:solidFill>
          <a:prstDash val="solid"/>
        </a:ln>
      </xdr:spPr>
    </xdr:pic>
    <xdr:clientData/>
  </xdr:twoCellAnchor>
  <xdr:twoCellAnchor>
    <xdr:from>
      <xdr:col>3</xdr:col>
      <xdr:colOff>114300</xdr:colOff>
      <xdr:row>3026</xdr:row>
      <xdr:rowOff>28575</xdr:rowOff>
    </xdr:from>
    <xdr:to>
      <xdr:col>3</xdr:col>
      <xdr:colOff>1552575</xdr:colOff>
      <xdr:row>3026</xdr:row>
      <xdr:rowOff>1266825</xdr:rowOff>
    </xdr:to>
    <xdr:pic>
      <xdr:nvPicPr>
        <xdr:cNvPr id="1231" name="Имя " descr="Descr ">
          <a:extLst>
            <a:ext uri="{FF2B5EF4-FFF2-40B4-BE49-F238E27FC236}">
              <a16:creationId xmlns:a16="http://schemas.microsoft.com/office/drawing/2014/main" id="{00000000-0008-0000-0000-0000CF040000}"/>
            </a:ext>
          </a:extLst>
        </xdr:cNvPr>
        <xdr:cNvPicPr>
          <a:picLocks noChangeAspect="1"/>
        </xdr:cNvPicPr>
      </xdr:nvPicPr>
      <xdr:blipFill>
        <a:blip xmlns:r="http://schemas.openxmlformats.org/officeDocument/2006/relationships" r:embed="rId1230"/>
        <a:stretch>
          <a:fillRect/>
        </a:stretch>
      </xdr:blipFill>
      <xdr:spPr>
        <a:prstGeom prst="rect">
          <a:avLst/>
        </a:prstGeom>
        <a:ln w="9525">
          <a:solidFill>
            <a:srgbClr val="000000"/>
          </a:solidFill>
          <a:prstDash val="solid"/>
        </a:ln>
      </xdr:spPr>
    </xdr:pic>
    <xdr:clientData/>
  </xdr:twoCellAnchor>
  <xdr:twoCellAnchor>
    <xdr:from>
      <xdr:col>3</xdr:col>
      <xdr:colOff>114300</xdr:colOff>
      <xdr:row>3027</xdr:row>
      <xdr:rowOff>28575</xdr:rowOff>
    </xdr:from>
    <xdr:to>
      <xdr:col>3</xdr:col>
      <xdr:colOff>1552575</xdr:colOff>
      <xdr:row>3027</xdr:row>
      <xdr:rowOff>1266825</xdr:rowOff>
    </xdr:to>
    <xdr:pic>
      <xdr:nvPicPr>
        <xdr:cNvPr id="1232" name="Имя " descr="Descr ">
          <a:extLst>
            <a:ext uri="{FF2B5EF4-FFF2-40B4-BE49-F238E27FC236}">
              <a16:creationId xmlns:a16="http://schemas.microsoft.com/office/drawing/2014/main" id="{00000000-0008-0000-0000-0000D0040000}"/>
            </a:ext>
          </a:extLst>
        </xdr:cNvPr>
        <xdr:cNvPicPr>
          <a:picLocks noChangeAspect="1"/>
        </xdr:cNvPicPr>
      </xdr:nvPicPr>
      <xdr:blipFill>
        <a:blip xmlns:r="http://schemas.openxmlformats.org/officeDocument/2006/relationships" r:embed="rId1231"/>
        <a:stretch>
          <a:fillRect/>
        </a:stretch>
      </xdr:blipFill>
      <xdr:spPr>
        <a:prstGeom prst="rect">
          <a:avLst/>
        </a:prstGeom>
        <a:ln w="9525">
          <a:solidFill>
            <a:srgbClr val="000000"/>
          </a:solidFill>
          <a:prstDash val="solid"/>
        </a:ln>
      </xdr:spPr>
    </xdr:pic>
    <xdr:clientData/>
  </xdr:twoCellAnchor>
  <xdr:twoCellAnchor>
    <xdr:from>
      <xdr:col>3</xdr:col>
      <xdr:colOff>114300</xdr:colOff>
      <xdr:row>3028</xdr:row>
      <xdr:rowOff>28575</xdr:rowOff>
    </xdr:from>
    <xdr:to>
      <xdr:col>3</xdr:col>
      <xdr:colOff>1552575</xdr:colOff>
      <xdr:row>3028</xdr:row>
      <xdr:rowOff>1266825</xdr:rowOff>
    </xdr:to>
    <xdr:pic>
      <xdr:nvPicPr>
        <xdr:cNvPr id="1233" name="Имя " descr="Descr ">
          <a:extLst>
            <a:ext uri="{FF2B5EF4-FFF2-40B4-BE49-F238E27FC236}">
              <a16:creationId xmlns:a16="http://schemas.microsoft.com/office/drawing/2014/main" id="{00000000-0008-0000-0000-0000D1040000}"/>
            </a:ext>
          </a:extLst>
        </xdr:cNvPr>
        <xdr:cNvPicPr>
          <a:picLocks noChangeAspect="1"/>
        </xdr:cNvPicPr>
      </xdr:nvPicPr>
      <xdr:blipFill>
        <a:blip xmlns:r="http://schemas.openxmlformats.org/officeDocument/2006/relationships" r:embed="rId1232"/>
        <a:stretch>
          <a:fillRect/>
        </a:stretch>
      </xdr:blipFill>
      <xdr:spPr>
        <a:prstGeom prst="rect">
          <a:avLst/>
        </a:prstGeom>
        <a:ln w="9525">
          <a:solidFill>
            <a:srgbClr val="000000"/>
          </a:solidFill>
          <a:prstDash val="solid"/>
        </a:ln>
      </xdr:spPr>
    </xdr:pic>
    <xdr:clientData/>
  </xdr:twoCellAnchor>
  <xdr:twoCellAnchor>
    <xdr:from>
      <xdr:col>3</xdr:col>
      <xdr:colOff>114300</xdr:colOff>
      <xdr:row>3029</xdr:row>
      <xdr:rowOff>28575</xdr:rowOff>
    </xdr:from>
    <xdr:to>
      <xdr:col>3</xdr:col>
      <xdr:colOff>1552575</xdr:colOff>
      <xdr:row>3029</xdr:row>
      <xdr:rowOff>1266825</xdr:rowOff>
    </xdr:to>
    <xdr:pic>
      <xdr:nvPicPr>
        <xdr:cNvPr id="1234" name="Имя " descr="Descr ">
          <a:extLst>
            <a:ext uri="{FF2B5EF4-FFF2-40B4-BE49-F238E27FC236}">
              <a16:creationId xmlns:a16="http://schemas.microsoft.com/office/drawing/2014/main" id="{00000000-0008-0000-0000-0000D2040000}"/>
            </a:ext>
          </a:extLst>
        </xdr:cNvPr>
        <xdr:cNvPicPr>
          <a:picLocks noChangeAspect="1"/>
        </xdr:cNvPicPr>
      </xdr:nvPicPr>
      <xdr:blipFill>
        <a:blip xmlns:r="http://schemas.openxmlformats.org/officeDocument/2006/relationships" r:embed="rId1233"/>
        <a:stretch>
          <a:fillRect/>
        </a:stretch>
      </xdr:blipFill>
      <xdr:spPr>
        <a:prstGeom prst="rect">
          <a:avLst/>
        </a:prstGeom>
        <a:ln w="9525">
          <a:solidFill>
            <a:srgbClr val="000000"/>
          </a:solidFill>
          <a:prstDash val="solid"/>
        </a:ln>
      </xdr:spPr>
    </xdr:pic>
    <xdr:clientData/>
  </xdr:twoCellAnchor>
  <xdr:twoCellAnchor>
    <xdr:from>
      <xdr:col>3</xdr:col>
      <xdr:colOff>114300</xdr:colOff>
      <xdr:row>3030</xdr:row>
      <xdr:rowOff>28575</xdr:rowOff>
    </xdr:from>
    <xdr:to>
      <xdr:col>3</xdr:col>
      <xdr:colOff>1552575</xdr:colOff>
      <xdr:row>3030</xdr:row>
      <xdr:rowOff>1266825</xdr:rowOff>
    </xdr:to>
    <xdr:pic>
      <xdr:nvPicPr>
        <xdr:cNvPr id="1235" name="Имя " descr="Descr ">
          <a:extLst>
            <a:ext uri="{FF2B5EF4-FFF2-40B4-BE49-F238E27FC236}">
              <a16:creationId xmlns:a16="http://schemas.microsoft.com/office/drawing/2014/main" id="{00000000-0008-0000-0000-0000D3040000}"/>
            </a:ext>
          </a:extLst>
        </xdr:cNvPr>
        <xdr:cNvPicPr>
          <a:picLocks noChangeAspect="1"/>
        </xdr:cNvPicPr>
      </xdr:nvPicPr>
      <xdr:blipFill>
        <a:blip xmlns:r="http://schemas.openxmlformats.org/officeDocument/2006/relationships" r:embed="rId1234"/>
        <a:stretch>
          <a:fillRect/>
        </a:stretch>
      </xdr:blipFill>
      <xdr:spPr>
        <a:prstGeom prst="rect">
          <a:avLst/>
        </a:prstGeom>
        <a:ln w="9525">
          <a:solidFill>
            <a:srgbClr val="000000"/>
          </a:solidFill>
          <a:prstDash val="solid"/>
        </a:ln>
      </xdr:spPr>
    </xdr:pic>
    <xdr:clientData/>
  </xdr:twoCellAnchor>
  <xdr:twoCellAnchor>
    <xdr:from>
      <xdr:col>3</xdr:col>
      <xdr:colOff>114300</xdr:colOff>
      <xdr:row>3031</xdr:row>
      <xdr:rowOff>28575</xdr:rowOff>
    </xdr:from>
    <xdr:to>
      <xdr:col>3</xdr:col>
      <xdr:colOff>1552575</xdr:colOff>
      <xdr:row>3031</xdr:row>
      <xdr:rowOff>1266825</xdr:rowOff>
    </xdr:to>
    <xdr:pic>
      <xdr:nvPicPr>
        <xdr:cNvPr id="1236" name="Имя " descr="Descr ">
          <a:extLst>
            <a:ext uri="{FF2B5EF4-FFF2-40B4-BE49-F238E27FC236}">
              <a16:creationId xmlns:a16="http://schemas.microsoft.com/office/drawing/2014/main" id="{00000000-0008-0000-0000-0000D4040000}"/>
            </a:ext>
          </a:extLst>
        </xdr:cNvPr>
        <xdr:cNvPicPr>
          <a:picLocks noChangeAspect="1"/>
        </xdr:cNvPicPr>
      </xdr:nvPicPr>
      <xdr:blipFill>
        <a:blip xmlns:r="http://schemas.openxmlformats.org/officeDocument/2006/relationships" r:embed="rId1235"/>
        <a:stretch>
          <a:fillRect/>
        </a:stretch>
      </xdr:blipFill>
      <xdr:spPr>
        <a:prstGeom prst="rect">
          <a:avLst/>
        </a:prstGeom>
        <a:ln w="9525">
          <a:solidFill>
            <a:srgbClr val="000000"/>
          </a:solidFill>
          <a:prstDash val="solid"/>
        </a:ln>
      </xdr:spPr>
    </xdr:pic>
    <xdr:clientData/>
  </xdr:twoCellAnchor>
  <xdr:twoCellAnchor>
    <xdr:from>
      <xdr:col>3</xdr:col>
      <xdr:colOff>114300</xdr:colOff>
      <xdr:row>3032</xdr:row>
      <xdr:rowOff>28575</xdr:rowOff>
    </xdr:from>
    <xdr:to>
      <xdr:col>3</xdr:col>
      <xdr:colOff>1552575</xdr:colOff>
      <xdr:row>3032</xdr:row>
      <xdr:rowOff>1266825</xdr:rowOff>
    </xdr:to>
    <xdr:pic>
      <xdr:nvPicPr>
        <xdr:cNvPr id="1237" name="Имя " descr="Descr ">
          <a:extLst>
            <a:ext uri="{FF2B5EF4-FFF2-40B4-BE49-F238E27FC236}">
              <a16:creationId xmlns:a16="http://schemas.microsoft.com/office/drawing/2014/main" id="{00000000-0008-0000-0000-0000D5040000}"/>
            </a:ext>
          </a:extLst>
        </xdr:cNvPr>
        <xdr:cNvPicPr>
          <a:picLocks noChangeAspect="1"/>
        </xdr:cNvPicPr>
      </xdr:nvPicPr>
      <xdr:blipFill>
        <a:blip xmlns:r="http://schemas.openxmlformats.org/officeDocument/2006/relationships" r:embed="rId1236"/>
        <a:stretch>
          <a:fillRect/>
        </a:stretch>
      </xdr:blipFill>
      <xdr:spPr>
        <a:prstGeom prst="rect">
          <a:avLst/>
        </a:prstGeom>
        <a:ln w="9525">
          <a:solidFill>
            <a:srgbClr val="000000"/>
          </a:solidFill>
          <a:prstDash val="solid"/>
        </a:ln>
      </xdr:spPr>
    </xdr:pic>
    <xdr:clientData/>
  </xdr:twoCellAnchor>
  <xdr:twoCellAnchor>
    <xdr:from>
      <xdr:col>3</xdr:col>
      <xdr:colOff>114300</xdr:colOff>
      <xdr:row>3033</xdr:row>
      <xdr:rowOff>28575</xdr:rowOff>
    </xdr:from>
    <xdr:to>
      <xdr:col>3</xdr:col>
      <xdr:colOff>1552575</xdr:colOff>
      <xdr:row>3033</xdr:row>
      <xdr:rowOff>1266825</xdr:rowOff>
    </xdr:to>
    <xdr:pic>
      <xdr:nvPicPr>
        <xdr:cNvPr id="1238" name="Имя " descr="Descr ">
          <a:extLst>
            <a:ext uri="{FF2B5EF4-FFF2-40B4-BE49-F238E27FC236}">
              <a16:creationId xmlns:a16="http://schemas.microsoft.com/office/drawing/2014/main" id="{00000000-0008-0000-0000-0000D6040000}"/>
            </a:ext>
          </a:extLst>
        </xdr:cNvPr>
        <xdr:cNvPicPr>
          <a:picLocks noChangeAspect="1"/>
        </xdr:cNvPicPr>
      </xdr:nvPicPr>
      <xdr:blipFill>
        <a:blip xmlns:r="http://schemas.openxmlformats.org/officeDocument/2006/relationships" r:embed="rId1237"/>
        <a:stretch>
          <a:fillRect/>
        </a:stretch>
      </xdr:blipFill>
      <xdr:spPr>
        <a:prstGeom prst="rect">
          <a:avLst/>
        </a:prstGeom>
        <a:ln w="9525">
          <a:solidFill>
            <a:srgbClr val="000000"/>
          </a:solidFill>
          <a:prstDash val="solid"/>
        </a:ln>
      </xdr:spPr>
    </xdr:pic>
    <xdr:clientData/>
  </xdr:twoCellAnchor>
  <xdr:twoCellAnchor>
    <xdr:from>
      <xdr:col>3</xdr:col>
      <xdr:colOff>114300</xdr:colOff>
      <xdr:row>3034</xdr:row>
      <xdr:rowOff>28575</xdr:rowOff>
    </xdr:from>
    <xdr:to>
      <xdr:col>3</xdr:col>
      <xdr:colOff>1552575</xdr:colOff>
      <xdr:row>3034</xdr:row>
      <xdr:rowOff>1266825</xdr:rowOff>
    </xdr:to>
    <xdr:pic>
      <xdr:nvPicPr>
        <xdr:cNvPr id="1239" name="Имя " descr="Descr ">
          <a:extLst>
            <a:ext uri="{FF2B5EF4-FFF2-40B4-BE49-F238E27FC236}">
              <a16:creationId xmlns:a16="http://schemas.microsoft.com/office/drawing/2014/main" id="{00000000-0008-0000-0000-0000D7040000}"/>
            </a:ext>
          </a:extLst>
        </xdr:cNvPr>
        <xdr:cNvPicPr>
          <a:picLocks noChangeAspect="1"/>
        </xdr:cNvPicPr>
      </xdr:nvPicPr>
      <xdr:blipFill>
        <a:blip xmlns:r="http://schemas.openxmlformats.org/officeDocument/2006/relationships" r:embed="rId1238"/>
        <a:stretch>
          <a:fillRect/>
        </a:stretch>
      </xdr:blipFill>
      <xdr:spPr>
        <a:prstGeom prst="rect">
          <a:avLst/>
        </a:prstGeom>
        <a:ln w="9525">
          <a:solidFill>
            <a:srgbClr val="000000"/>
          </a:solidFill>
          <a:prstDash val="solid"/>
        </a:ln>
      </xdr:spPr>
    </xdr:pic>
    <xdr:clientData/>
  </xdr:twoCellAnchor>
  <xdr:twoCellAnchor>
    <xdr:from>
      <xdr:col>3</xdr:col>
      <xdr:colOff>114300</xdr:colOff>
      <xdr:row>3035</xdr:row>
      <xdr:rowOff>28575</xdr:rowOff>
    </xdr:from>
    <xdr:to>
      <xdr:col>3</xdr:col>
      <xdr:colOff>1552575</xdr:colOff>
      <xdr:row>3039</xdr:row>
      <xdr:rowOff>333375</xdr:rowOff>
    </xdr:to>
    <xdr:pic>
      <xdr:nvPicPr>
        <xdr:cNvPr id="1240" name="Имя " descr="Descr ">
          <a:extLst>
            <a:ext uri="{FF2B5EF4-FFF2-40B4-BE49-F238E27FC236}">
              <a16:creationId xmlns:a16="http://schemas.microsoft.com/office/drawing/2014/main" id="{00000000-0008-0000-0000-0000D8040000}"/>
            </a:ext>
          </a:extLst>
        </xdr:cNvPr>
        <xdr:cNvPicPr>
          <a:picLocks noChangeAspect="1"/>
        </xdr:cNvPicPr>
      </xdr:nvPicPr>
      <xdr:blipFill>
        <a:blip xmlns:r="http://schemas.openxmlformats.org/officeDocument/2006/relationships" r:embed="rId1239"/>
        <a:stretch>
          <a:fillRect/>
        </a:stretch>
      </xdr:blipFill>
      <xdr:spPr>
        <a:prstGeom prst="rect">
          <a:avLst/>
        </a:prstGeom>
        <a:ln w="9525">
          <a:solidFill>
            <a:srgbClr val="000000"/>
          </a:solidFill>
          <a:prstDash val="solid"/>
        </a:ln>
      </xdr:spPr>
    </xdr:pic>
    <xdr:clientData/>
  </xdr:twoCellAnchor>
  <xdr:twoCellAnchor>
    <xdr:from>
      <xdr:col>3</xdr:col>
      <xdr:colOff>114300</xdr:colOff>
      <xdr:row>3040</xdr:row>
      <xdr:rowOff>28575</xdr:rowOff>
    </xdr:from>
    <xdr:to>
      <xdr:col>3</xdr:col>
      <xdr:colOff>1552575</xdr:colOff>
      <xdr:row>3040</xdr:row>
      <xdr:rowOff>1266825</xdr:rowOff>
    </xdr:to>
    <xdr:pic>
      <xdr:nvPicPr>
        <xdr:cNvPr id="1241" name="Имя " descr="Descr ">
          <a:extLst>
            <a:ext uri="{FF2B5EF4-FFF2-40B4-BE49-F238E27FC236}">
              <a16:creationId xmlns:a16="http://schemas.microsoft.com/office/drawing/2014/main" id="{00000000-0008-0000-0000-0000D9040000}"/>
            </a:ext>
          </a:extLst>
        </xdr:cNvPr>
        <xdr:cNvPicPr>
          <a:picLocks noChangeAspect="1"/>
        </xdr:cNvPicPr>
      </xdr:nvPicPr>
      <xdr:blipFill>
        <a:blip xmlns:r="http://schemas.openxmlformats.org/officeDocument/2006/relationships" r:embed="rId1240"/>
        <a:stretch>
          <a:fillRect/>
        </a:stretch>
      </xdr:blipFill>
      <xdr:spPr>
        <a:prstGeom prst="rect">
          <a:avLst/>
        </a:prstGeom>
        <a:ln w="9525">
          <a:solidFill>
            <a:srgbClr val="000000"/>
          </a:solidFill>
          <a:prstDash val="solid"/>
        </a:ln>
      </xdr:spPr>
    </xdr:pic>
    <xdr:clientData/>
  </xdr:twoCellAnchor>
  <xdr:twoCellAnchor>
    <xdr:from>
      <xdr:col>3</xdr:col>
      <xdr:colOff>114300</xdr:colOff>
      <xdr:row>3041</xdr:row>
      <xdr:rowOff>28575</xdr:rowOff>
    </xdr:from>
    <xdr:to>
      <xdr:col>3</xdr:col>
      <xdr:colOff>1552575</xdr:colOff>
      <xdr:row>3043</xdr:row>
      <xdr:rowOff>419100</xdr:rowOff>
    </xdr:to>
    <xdr:pic>
      <xdr:nvPicPr>
        <xdr:cNvPr id="1242" name="Имя " descr="Descr ">
          <a:extLst>
            <a:ext uri="{FF2B5EF4-FFF2-40B4-BE49-F238E27FC236}">
              <a16:creationId xmlns:a16="http://schemas.microsoft.com/office/drawing/2014/main" id="{00000000-0008-0000-0000-0000DA040000}"/>
            </a:ext>
          </a:extLst>
        </xdr:cNvPr>
        <xdr:cNvPicPr>
          <a:picLocks noChangeAspect="1"/>
        </xdr:cNvPicPr>
      </xdr:nvPicPr>
      <xdr:blipFill>
        <a:blip xmlns:r="http://schemas.openxmlformats.org/officeDocument/2006/relationships" r:embed="rId1241"/>
        <a:stretch>
          <a:fillRect/>
        </a:stretch>
      </xdr:blipFill>
      <xdr:spPr>
        <a:prstGeom prst="rect">
          <a:avLst/>
        </a:prstGeom>
        <a:ln w="9525">
          <a:solidFill>
            <a:srgbClr val="000000"/>
          </a:solidFill>
          <a:prstDash val="solid"/>
        </a:ln>
      </xdr:spPr>
    </xdr:pic>
    <xdr:clientData/>
  </xdr:twoCellAnchor>
  <xdr:twoCellAnchor>
    <xdr:from>
      <xdr:col>3</xdr:col>
      <xdr:colOff>114300</xdr:colOff>
      <xdr:row>3044</xdr:row>
      <xdr:rowOff>28575</xdr:rowOff>
    </xdr:from>
    <xdr:to>
      <xdr:col>3</xdr:col>
      <xdr:colOff>1552575</xdr:colOff>
      <xdr:row>3048</xdr:row>
      <xdr:rowOff>333375</xdr:rowOff>
    </xdr:to>
    <xdr:pic>
      <xdr:nvPicPr>
        <xdr:cNvPr id="1243" name="Имя " descr="Descr ">
          <a:extLst>
            <a:ext uri="{FF2B5EF4-FFF2-40B4-BE49-F238E27FC236}">
              <a16:creationId xmlns:a16="http://schemas.microsoft.com/office/drawing/2014/main" id="{00000000-0008-0000-0000-0000DB040000}"/>
            </a:ext>
          </a:extLst>
        </xdr:cNvPr>
        <xdr:cNvPicPr>
          <a:picLocks noChangeAspect="1"/>
        </xdr:cNvPicPr>
      </xdr:nvPicPr>
      <xdr:blipFill>
        <a:blip xmlns:r="http://schemas.openxmlformats.org/officeDocument/2006/relationships" r:embed="rId1242"/>
        <a:stretch>
          <a:fillRect/>
        </a:stretch>
      </xdr:blipFill>
      <xdr:spPr>
        <a:prstGeom prst="rect">
          <a:avLst/>
        </a:prstGeom>
        <a:ln w="9525">
          <a:solidFill>
            <a:srgbClr val="000000"/>
          </a:solidFill>
          <a:prstDash val="solid"/>
        </a:ln>
      </xdr:spPr>
    </xdr:pic>
    <xdr:clientData/>
  </xdr:twoCellAnchor>
  <xdr:twoCellAnchor>
    <xdr:from>
      <xdr:col>3</xdr:col>
      <xdr:colOff>114300</xdr:colOff>
      <xdr:row>3049</xdr:row>
      <xdr:rowOff>38100</xdr:rowOff>
    </xdr:from>
    <xdr:to>
      <xdr:col>3</xdr:col>
      <xdr:colOff>1552575</xdr:colOff>
      <xdr:row>3050</xdr:row>
      <xdr:rowOff>638175</xdr:rowOff>
    </xdr:to>
    <xdr:pic>
      <xdr:nvPicPr>
        <xdr:cNvPr id="1244" name="Имя " descr="Descr ">
          <a:extLst>
            <a:ext uri="{FF2B5EF4-FFF2-40B4-BE49-F238E27FC236}">
              <a16:creationId xmlns:a16="http://schemas.microsoft.com/office/drawing/2014/main" id="{00000000-0008-0000-0000-0000DC040000}"/>
            </a:ext>
          </a:extLst>
        </xdr:cNvPr>
        <xdr:cNvPicPr>
          <a:picLocks noChangeAspect="1"/>
        </xdr:cNvPicPr>
      </xdr:nvPicPr>
      <xdr:blipFill>
        <a:blip xmlns:r="http://schemas.openxmlformats.org/officeDocument/2006/relationships" r:embed="rId1243"/>
        <a:stretch>
          <a:fillRect/>
        </a:stretch>
      </xdr:blipFill>
      <xdr:spPr>
        <a:prstGeom prst="rect">
          <a:avLst/>
        </a:prstGeom>
        <a:ln w="9525">
          <a:solidFill>
            <a:srgbClr val="000000"/>
          </a:solidFill>
          <a:prstDash val="solid"/>
        </a:ln>
      </xdr:spPr>
    </xdr:pic>
    <xdr:clientData/>
  </xdr:twoCellAnchor>
  <xdr:twoCellAnchor>
    <xdr:from>
      <xdr:col>3</xdr:col>
      <xdr:colOff>114300</xdr:colOff>
      <xdr:row>3051</xdr:row>
      <xdr:rowOff>38100</xdr:rowOff>
    </xdr:from>
    <xdr:to>
      <xdr:col>3</xdr:col>
      <xdr:colOff>1552575</xdr:colOff>
      <xdr:row>3052</xdr:row>
      <xdr:rowOff>638175</xdr:rowOff>
    </xdr:to>
    <xdr:pic>
      <xdr:nvPicPr>
        <xdr:cNvPr id="1245" name="Имя " descr="Descr ">
          <a:extLst>
            <a:ext uri="{FF2B5EF4-FFF2-40B4-BE49-F238E27FC236}">
              <a16:creationId xmlns:a16="http://schemas.microsoft.com/office/drawing/2014/main" id="{00000000-0008-0000-0000-0000DD040000}"/>
            </a:ext>
          </a:extLst>
        </xdr:cNvPr>
        <xdr:cNvPicPr>
          <a:picLocks noChangeAspect="1"/>
        </xdr:cNvPicPr>
      </xdr:nvPicPr>
      <xdr:blipFill>
        <a:blip xmlns:r="http://schemas.openxmlformats.org/officeDocument/2006/relationships" r:embed="rId1244"/>
        <a:stretch>
          <a:fillRect/>
        </a:stretch>
      </xdr:blipFill>
      <xdr:spPr>
        <a:prstGeom prst="rect">
          <a:avLst/>
        </a:prstGeom>
        <a:ln w="9525">
          <a:solidFill>
            <a:srgbClr val="000000"/>
          </a:solidFill>
          <a:prstDash val="solid"/>
        </a:ln>
      </xdr:spPr>
    </xdr:pic>
    <xdr:clientData/>
  </xdr:twoCellAnchor>
  <xdr:twoCellAnchor>
    <xdr:from>
      <xdr:col>3</xdr:col>
      <xdr:colOff>114300</xdr:colOff>
      <xdr:row>3053</xdr:row>
      <xdr:rowOff>28575</xdr:rowOff>
    </xdr:from>
    <xdr:to>
      <xdr:col>3</xdr:col>
      <xdr:colOff>1552575</xdr:colOff>
      <xdr:row>3057</xdr:row>
      <xdr:rowOff>333375</xdr:rowOff>
    </xdr:to>
    <xdr:pic>
      <xdr:nvPicPr>
        <xdr:cNvPr id="1246" name="Имя " descr="Descr ">
          <a:extLst>
            <a:ext uri="{FF2B5EF4-FFF2-40B4-BE49-F238E27FC236}">
              <a16:creationId xmlns:a16="http://schemas.microsoft.com/office/drawing/2014/main" id="{00000000-0008-0000-0000-0000DE040000}"/>
            </a:ext>
          </a:extLst>
        </xdr:cNvPr>
        <xdr:cNvPicPr>
          <a:picLocks noChangeAspect="1"/>
        </xdr:cNvPicPr>
      </xdr:nvPicPr>
      <xdr:blipFill>
        <a:blip xmlns:r="http://schemas.openxmlformats.org/officeDocument/2006/relationships" r:embed="rId1245"/>
        <a:stretch>
          <a:fillRect/>
        </a:stretch>
      </xdr:blipFill>
      <xdr:spPr>
        <a:prstGeom prst="rect">
          <a:avLst/>
        </a:prstGeom>
        <a:ln w="9525">
          <a:solidFill>
            <a:srgbClr val="000000"/>
          </a:solidFill>
          <a:prstDash val="solid"/>
        </a:ln>
      </xdr:spPr>
    </xdr:pic>
    <xdr:clientData/>
  </xdr:twoCellAnchor>
  <xdr:twoCellAnchor>
    <xdr:from>
      <xdr:col>3</xdr:col>
      <xdr:colOff>114300</xdr:colOff>
      <xdr:row>3058</xdr:row>
      <xdr:rowOff>28575</xdr:rowOff>
    </xdr:from>
    <xdr:to>
      <xdr:col>3</xdr:col>
      <xdr:colOff>1552575</xdr:colOff>
      <xdr:row>3062</xdr:row>
      <xdr:rowOff>333375</xdr:rowOff>
    </xdr:to>
    <xdr:pic>
      <xdr:nvPicPr>
        <xdr:cNvPr id="1247" name="Имя " descr="Descr ">
          <a:extLst>
            <a:ext uri="{FF2B5EF4-FFF2-40B4-BE49-F238E27FC236}">
              <a16:creationId xmlns:a16="http://schemas.microsoft.com/office/drawing/2014/main" id="{00000000-0008-0000-0000-0000DF040000}"/>
            </a:ext>
          </a:extLst>
        </xdr:cNvPr>
        <xdr:cNvPicPr>
          <a:picLocks noChangeAspect="1"/>
        </xdr:cNvPicPr>
      </xdr:nvPicPr>
      <xdr:blipFill>
        <a:blip xmlns:r="http://schemas.openxmlformats.org/officeDocument/2006/relationships" r:embed="rId1246"/>
        <a:stretch>
          <a:fillRect/>
        </a:stretch>
      </xdr:blipFill>
      <xdr:spPr>
        <a:prstGeom prst="rect">
          <a:avLst/>
        </a:prstGeom>
        <a:ln w="9525">
          <a:solidFill>
            <a:srgbClr val="000000"/>
          </a:solidFill>
          <a:prstDash val="solid"/>
        </a:ln>
      </xdr:spPr>
    </xdr:pic>
    <xdr:clientData/>
  </xdr:twoCellAnchor>
  <xdr:twoCellAnchor>
    <xdr:from>
      <xdr:col>3</xdr:col>
      <xdr:colOff>114300</xdr:colOff>
      <xdr:row>3063</xdr:row>
      <xdr:rowOff>28575</xdr:rowOff>
    </xdr:from>
    <xdr:to>
      <xdr:col>3</xdr:col>
      <xdr:colOff>1552575</xdr:colOff>
      <xdr:row>3063</xdr:row>
      <xdr:rowOff>1266825</xdr:rowOff>
    </xdr:to>
    <xdr:pic>
      <xdr:nvPicPr>
        <xdr:cNvPr id="1248" name="Имя " descr="Descr ">
          <a:extLst>
            <a:ext uri="{FF2B5EF4-FFF2-40B4-BE49-F238E27FC236}">
              <a16:creationId xmlns:a16="http://schemas.microsoft.com/office/drawing/2014/main" id="{00000000-0008-0000-0000-0000E0040000}"/>
            </a:ext>
          </a:extLst>
        </xdr:cNvPr>
        <xdr:cNvPicPr>
          <a:picLocks noChangeAspect="1"/>
        </xdr:cNvPicPr>
      </xdr:nvPicPr>
      <xdr:blipFill>
        <a:blip xmlns:r="http://schemas.openxmlformats.org/officeDocument/2006/relationships" r:embed="rId1247"/>
        <a:stretch>
          <a:fillRect/>
        </a:stretch>
      </xdr:blipFill>
      <xdr:spPr>
        <a:prstGeom prst="rect">
          <a:avLst/>
        </a:prstGeom>
        <a:ln w="9525">
          <a:solidFill>
            <a:srgbClr val="000000"/>
          </a:solidFill>
          <a:prstDash val="solid"/>
        </a:ln>
      </xdr:spPr>
    </xdr:pic>
    <xdr:clientData/>
  </xdr:twoCellAnchor>
  <xdr:twoCellAnchor>
    <xdr:from>
      <xdr:col>3</xdr:col>
      <xdr:colOff>114300</xdr:colOff>
      <xdr:row>3064</xdr:row>
      <xdr:rowOff>28575</xdr:rowOff>
    </xdr:from>
    <xdr:to>
      <xdr:col>3</xdr:col>
      <xdr:colOff>1552575</xdr:colOff>
      <xdr:row>3064</xdr:row>
      <xdr:rowOff>1266825</xdr:rowOff>
    </xdr:to>
    <xdr:pic>
      <xdr:nvPicPr>
        <xdr:cNvPr id="1249" name="Имя " descr="Descr ">
          <a:extLst>
            <a:ext uri="{FF2B5EF4-FFF2-40B4-BE49-F238E27FC236}">
              <a16:creationId xmlns:a16="http://schemas.microsoft.com/office/drawing/2014/main" id="{00000000-0008-0000-0000-0000E1040000}"/>
            </a:ext>
          </a:extLst>
        </xdr:cNvPr>
        <xdr:cNvPicPr>
          <a:picLocks noChangeAspect="1"/>
        </xdr:cNvPicPr>
      </xdr:nvPicPr>
      <xdr:blipFill>
        <a:blip xmlns:r="http://schemas.openxmlformats.org/officeDocument/2006/relationships" r:embed="rId1248"/>
        <a:stretch>
          <a:fillRect/>
        </a:stretch>
      </xdr:blipFill>
      <xdr:spPr>
        <a:prstGeom prst="rect">
          <a:avLst/>
        </a:prstGeom>
        <a:ln w="9525">
          <a:solidFill>
            <a:srgbClr val="000000"/>
          </a:solidFill>
          <a:prstDash val="solid"/>
        </a:ln>
      </xdr:spPr>
    </xdr:pic>
    <xdr:clientData/>
  </xdr:twoCellAnchor>
  <xdr:twoCellAnchor>
    <xdr:from>
      <xdr:col>3</xdr:col>
      <xdr:colOff>114300</xdr:colOff>
      <xdr:row>3065</xdr:row>
      <xdr:rowOff>28575</xdr:rowOff>
    </xdr:from>
    <xdr:to>
      <xdr:col>3</xdr:col>
      <xdr:colOff>1552575</xdr:colOff>
      <xdr:row>3065</xdr:row>
      <xdr:rowOff>1266825</xdr:rowOff>
    </xdr:to>
    <xdr:pic>
      <xdr:nvPicPr>
        <xdr:cNvPr id="1250" name="Имя " descr="Descr ">
          <a:extLst>
            <a:ext uri="{FF2B5EF4-FFF2-40B4-BE49-F238E27FC236}">
              <a16:creationId xmlns:a16="http://schemas.microsoft.com/office/drawing/2014/main" id="{00000000-0008-0000-0000-0000E2040000}"/>
            </a:ext>
          </a:extLst>
        </xdr:cNvPr>
        <xdr:cNvPicPr>
          <a:picLocks noChangeAspect="1"/>
        </xdr:cNvPicPr>
      </xdr:nvPicPr>
      <xdr:blipFill>
        <a:blip xmlns:r="http://schemas.openxmlformats.org/officeDocument/2006/relationships" r:embed="rId1249"/>
        <a:stretch>
          <a:fillRect/>
        </a:stretch>
      </xdr:blipFill>
      <xdr:spPr>
        <a:prstGeom prst="rect">
          <a:avLst/>
        </a:prstGeom>
        <a:ln w="9525">
          <a:solidFill>
            <a:srgbClr val="000000"/>
          </a:solidFill>
          <a:prstDash val="solid"/>
        </a:ln>
      </xdr:spPr>
    </xdr:pic>
    <xdr:clientData/>
  </xdr:twoCellAnchor>
  <xdr:twoCellAnchor>
    <xdr:from>
      <xdr:col>3</xdr:col>
      <xdr:colOff>114300</xdr:colOff>
      <xdr:row>3066</xdr:row>
      <xdr:rowOff>28575</xdr:rowOff>
    </xdr:from>
    <xdr:to>
      <xdr:col>3</xdr:col>
      <xdr:colOff>1552575</xdr:colOff>
      <xdr:row>3068</xdr:row>
      <xdr:rowOff>419100</xdr:rowOff>
    </xdr:to>
    <xdr:pic>
      <xdr:nvPicPr>
        <xdr:cNvPr id="1251" name="Имя " descr="Descr ">
          <a:extLst>
            <a:ext uri="{FF2B5EF4-FFF2-40B4-BE49-F238E27FC236}">
              <a16:creationId xmlns:a16="http://schemas.microsoft.com/office/drawing/2014/main" id="{00000000-0008-0000-0000-0000E3040000}"/>
            </a:ext>
          </a:extLst>
        </xdr:cNvPr>
        <xdr:cNvPicPr>
          <a:picLocks noChangeAspect="1"/>
        </xdr:cNvPicPr>
      </xdr:nvPicPr>
      <xdr:blipFill>
        <a:blip xmlns:r="http://schemas.openxmlformats.org/officeDocument/2006/relationships" r:embed="rId1250"/>
        <a:stretch>
          <a:fillRect/>
        </a:stretch>
      </xdr:blipFill>
      <xdr:spPr>
        <a:prstGeom prst="rect">
          <a:avLst/>
        </a:prstGeom>
        <a:ln w="9525">
          <a:solidFill>
            <a:srgbClr val="000000"/>
          </a:solidFill>
          <a:prstDash val="solid"/>
        </a:ln>
      </xdr:spPr>
    </xdr:pic>
    <xdr:clientData/>
  </xdr:twoCellAnchor>
  <xdr:twoCellAnchor>
    <xdr:from>
      <xdr:col>3</xdr:col>
      <xdr:colOff>114300</xdr:colOff>
      <xdr:row>3069</xdr:row>
      <xdr:rowOff>28575</xdr:rowOff>
    </xdr:from>
    <xdr:to>
      <xdr:col>3</xdr:col>
      <xdr:colOff>1552575</xdr:colOff>
      <xdr:row>3073</xdr:row>
      <xdr:rowOff>333375</xdr:rowOff>
    </xdr:to>
    <xdr:pic>
      <xdr:nvPicPr>
        <xdr:cNvPr id="1252" name="Имя " descr="Descr ">
          <a:extLst>
            <a:ext uri="{FF2B5EF4-FFF2-40B4-BE49-F238E27FC236}">
              <a16:creationId xmlns:a16="http://schemas.microsoft.com/office/drawing/2014/main" id="{00000000-0008-0000-0000-0000E4040000}"/>
            </a:ext>
          </a:extLst>
        </xdr:cNvPr>
        <xdr:cNvPicPr>
          <a:picLocks noChangeAspect="1"/>
        </xdr:cNvPicPr>
      </xdr:nvPicPr>
      <xdr:blipFill>
        <a:blip xmlns:r="http://schemas.openxmlformats.org/officeDocument/2006/relationships" r:embed="rId1251"/>
        <a:stretch>
          <a:fillRect/>
        </a:stretch>
      </xdr:blipFill>
      <xdr:spPr>
        <a:prstGeom prst="rect">
          <a:avLst/>
        </a:prstGeom>
        <a:ln w="9525">
          <a:solidFill>
            <a:srgbClr val="000000"/>
          </a:solidFill>
          <a:prstDash val="solid"/>
        </a:ln>
      </xdr:spPr>
    </xdr:pic>
    <xdr:clientData/>
  </xdr:twoCellAnchor>
  <xdr:twoCellAnchor>
    <xdr:from>
      <xdr:col>3</xdr:col>
      <xdr:colOff>114300</xdr:colOff>
      <xdr:row>3074</xdr:row>
      <xdr:rowOff>28575</xdr:rowOff>
    </xdr:from>
    <xdr:to>
      <xdr:col>3</xdr:col>
      <xdr:colOff>1552575</xdr:colOff>
      <xdr:row>3077</xdr:row>
      <xdr:rowOff>209550</xdr:rowOff>
    </xdr:to>
    <xdr:pic>
      <xdr:nvPicPr>
        <xdr:cNvPr id="1253" name="Имя " descr="Descr ">
          <a:extLst>
            <a:ext uri="{FF2B5EF4-FFF2-40B4-BE49-F238E27FC236}">
              <a16:creationId xmlns:a16="http://schemas.microsoft.com/office/drawing/2014/main" id="{00000000-0008-0000-0000-0000E5040000}"/>
            </a:ext>
          </a:extLst>
        </xdr:cNvPr>
        <xdr:cNvPicPr>
          <a:picLocks noChangeAspect="1"/>
        </xdr:cNvPicPr>
      </xdr:nvPicPr>
      <xdr:blipFill>
        <a:blip xmlns:r="http://schemas.openxmlformats.org/officeDocument/2006/relationships" r:embed="rId1252"/>
        <a:stretch>
          <a:fillRect/>
        </a:stretch>
      </xdr:blipFill>
      <xdr:spPr>
        <a:prstGeom prst="rect">
          <a:avLst/>
        </a:prstGeom>
        <a:ln w="9525">
          <a:solidFill>
            <a:srgbClr val="000000"/>
          </a:solidFill>
          <a:prstDash val="solid"/>
        </a:ln>
      </xdr:spPr>
    </xdr:pic>
    <xdr:clientData/>
  </xdr:twoCellAnchor>
  <xdr:twoCellAnchor>
    <xdr:from>
      <xdr:col>3</xdr:col>
      <xdr:colOff>114300</xdr:colOff>
      <xdr:row>3078</xdr:row>
      <xdr:rowOff>28575</xdr:rowOff>
    </xdr:from>
    <xdr:to>
      <xdr:col>3</xdr:col>
      <xdr:colOff>1552575</xdr:colOff>
      <xdr:row>3082</xdr:row>
      <xdr:rowOff>333375</xdr:rowOff>
    </xdr:to>
    <xdr:pic>
      <xdr:nvPicPr>
        <xdr:cNvPr id="1254" name="Имя " descr="Descr ">
          <a:extLst>
            <a:ext uri="{FF2B5EF4-FFF2-40B4-BE49-F238E27FC236}">
              <a16:creationId xmlns:a16="http://schemas.microsoft.com/office/drawing/2014/main" id="{00000000-0008-0000-0000-0000E6040000}"/>
            </a:ext>
          </a:extLst>
        </xdr:cNvPr>
        <xdr:cNvPicPr>
          <a:picLocks noChangeAspect="1"/>
        </xdr:cNvPicPr>
      </xdr:nvPicPr>
      <xdr:blipFill>
        <a:blip xmlns:r="http://schemas.openxmlformats.org/officeDocument/2006/relationships" r:embed="rId1253"/>
        <a:stretch>
          <a:fillRect/>
        </a:stretch>
      </xdr:blipFill>
      <xdr:spPr>
        <a:prstGeom prst="rect">
          <a:avLst/>
        </a:prstGeom>
        <a:ln w="9525">
          <a:solidFill>
            <a:srgbClr val="000000"/>
          </a:solidFill>
          <a:prstDash val="solid"/>
        </a:ln>
      </xdr:spPr>
    </xdr:pic>
    <xdr:clientData/>
  </xdr:twoCellAnchor>
  <xdr:twoCellAnchor>
    <xdr:from>
      <xdr:col>3</xdr:col>
      <xdr:colOff>114300</xdr:colOff>
      <xdr:row>3083</xdr:row>
      <xdr:rowOff>28575</xdr:rowOff>
    </xdr:from>
    <xdr:to>
      <xdr:col>3</xdr:col>
      <xdr:colOff>1552575</xdr:colOff>
      <xdr:row>3083</xdr:row>
      <xdr:rowOff>1266825</xdr:rowOff>
    </xdr:to>
    <xdr:pic>
      <xdr:nvPicPr>
        <xdr:cNvPr id="1255" name="Имя " descr="Descr ">
          <a:extLst>
            <a:ext uri="{FF2B5EF4-FFF2-40B4-BE49-F238E27FC236}">
              <a16:creationId xmlns:a16="http://schemas.microsoft.com/office/drawing/2014/main" id="{00000000-0008-0000-0000-0000E7040000}"/>
            </a:ext>
          </a:extLst>
        </xdr:cNvPr>
        <xdr:cNvPicPr>
          <a:picLocks noChangeAspect="1"/>
        </xdr:cNvPicPr>
      </xdr:nvPicPr>
      <xdr:blipFill>
        <a:blip xmlns:r="http://schemas.openxmlformats.org/officeDocument/2006/relationships" r:embed="rId1254"/>
        <a:stretch>
          <a:fillRect/>
        </a:stretch>
      </xdr:blipFill>
      <xdr:spPr>
        <a:prstGeom prst="rect">
          <a:avLst/>
        </a:prstGeom>
        <a:ln w="9525">
          <a:solidFill>
            <a:srgbClr val="000000"/>
          </a:solidFill>
          <a:prstDash val="solid"/>
        </a:ln>
      </xdr:spPr>
    </xdr:pic>
    <xdr:clientData/>
  </xdr:twoCellAnchor>
  <xdr:twoCellAnchor>
    <xdr:from>
      <xdr:col>3</xdr:col>
      <xdr:colOff>114300</xdr:colOff>
      <xdr:row>3084</xdr:row>
      <xdr:rowOff>28575</xdr:rowOff>
    </xdr:from>
    <xdr:to>
      <xdr:col>3</xdr:col>
      <xdr:colOff>1552575</xdr:colOff>
      <xdr:row>3084</xdr:row>
      <xdr:rowOff>1266825</xdr:rowOff>
    </xdr:to>
    <xdr:pic>
      <xdr:nvPicPr>
        <xdr:cNvPr id="1256" name="Имя " descr="Descr ">
          <a:extLst>
            <a:ext uri="{FF2B5EF4-FFF2-40B4-BE49-F238E27FC236}">
              <a16:creationId xmlns:a16="http://schemas.microsoft.com/office/drawing/2014/main" id="{00000000-0008-0000-0000-0000E8040000}"/>
            </a:ext>
          </a:extLst>
        </xdr:cNvPr>
        <xdr:cNvPicPr>
          <a:picLocks noChangeAspect="1"/>
        </xdr:cNvPicPr>
      </xdr:nvPicPr>
      <xdr:blipFill>
        <a:blip xmlns:r="http://schemas.openxmlformats.org/officeDocument/2006/relationships" r:embed="rId1255"/>
        <a:stretch>
          <a:fillRect/>
        </a:stretch>
      </xdr:blipFill>
      <xdr:spPr>
        <a:prstGeom prst="rect">
          <a:avLst/>
        </a:prstGeom>
        <a:ln w="9525">
          <a:solidFill>
            <a:srgbClr val="000000"/>
          </a:solidFill>
          <a:prstDash val="solid"/>
        </a:ln>
      </xdr:spPr>
    </xdr:pic>
    <xdr:clientData/>
  </xdr:twoCellAnchor>
  <xdr:twoCellAnchor>
    <xdr:from>
      <xdr:col>3</xdr:col>
      <xdr:colOff>114300</xdr:colOff>
      <xdr:row>3085</xdr:row>
      <xdr:rowOff>28575</xdr:rowOff>
    </xdr:from>
    <xdr:to>
      <xdr:col>3</xdr:col>
      <xdr:colOff>1552575</xdr:colOff>
      <xdr:row>3085</xdr:row>
      <xdr:rowOff>1266825</xdr:rowOff>
    </xdr:to>
    <xdr:pic>
      <xdr:nvPicPr>
        <xdr:cNvPr id="1257" name="Имя " descr="Descr ">
          <a:extLst>
            <a:ext uri="{FF2B5EF4-FFF2-40B4-BE49-F238E27FC236}">
              <a16:creationId xmlns:a16="http://schemas.microsoft.com/office/drawing/2014/main" id="{00000000-0008-0000-0000-0000E9040000}"/>
            </a:ext>
          </a:extLst>
        </xdr:cNvPr>
        <xdr:cNvPicPr>
          <a:picLocks noChangeAspect="1"/>
        </xdr:cNvPicPr>
      </xdr:nvPicPr>
      <xdr:blipFill>
        <a:blip xmlns:r="http://schemas.openxmlformats.org/officeDocument/2006/relationships" r:embed="rId1256"/>
        <a:stretch>
          <a:fillRect/>
        </a:stretch>
      </xdr:blipFill>
      <xdr:spPr>
        <a:prstGeom prst="rect">
          <a:avLst/>
        </a:prstGeom>
        <a:ln w="9525">
          <a:solidFill>
            <a:srgbClr val="000000"/>
          </a:solidFill>
          <a:prstDash val="solid"/>
        </a:ln>
      </xdr:spPr>
    </xdr:pic>
    <xdr:clientData/>
  </xdr:twoCellAnchor>
  <xdr:twoCellAnchor>
    <xdr:from>
      <xdr:col>3</xdr:col>
      <xdr:colOff>114300</xdr:colOff>
      <xdr:row>3086</xdr:row>
      <xdr:rowOff>38100</xdr:rowOff>
    </xdr:from>
    <xdr:to>
      <xdr:col>3</xdr:col>
      <xdr:colOff>1552575</xdr:colOff>
      <xdr:row>3087</xdr:row>
      <xdr:rowOff>638175</xdr:rowOff>
    </xdr:to>
    <xdr:pic>
      <xdr:nvPicPr>
        <xdr:cNvPr id="1258" name="Имя " descr="Descr ">
          <a:extLst>
            <a:ext uri="{FF2B5EF4-FFF2-40B4-BE49-F238E27FC236}">
              <a16:creationId xmlns:a16="http://schemas.microsoft.com/office/drawing/2014/main" id="{00000000-0008-0000-0000-0000EA040000}"/>
            </a:ext>
          </a:extLst>
        </xdr:cNvPr>
        <xdr:cNvPicPr>
          <a:picLocks noChangeAspect="1"/>
        </xdr:cNvPicPr>
      </xdr:nvPicPr>
      <xdr:blipFill>
        <a:blip xmlns:r="http://schemas.openxmlformats.org/officeDocument/2006/relationships" r:embed="rId1257"/>
        <a:stretch>
          <a:fillRect/>
        </a:stretch>
      </xdr:blipFill>
      <xdr:spPr>
        <a:prstGeom prst="rect">
          <a:avLst/>
        </a:prstGeom>
        <a:ln w="9525">
          <a:solidFill>
            <a:srgbClr val="000000"/>
          </a:solidFill>
          <a:prstDash val="solid"/>
        </a:ln>
      </xdr:spPr>
    </xdr:pic>
    <xdr:clientData/>
  </xdr:twoCellAnchor>
  <xdr:twoCellAnchor>
    <xdr:from>
      <xdr:col>3</xdr:col>
      <xdr:colOff>114300</xdr:colOff>
      <xdr:row>3088</xdr:row>
      <xdr:rowOff>28575</xdr:rowOff>
    </xdr:from>
    <xdr:to>
      <xdr:col>3</xdr:col>
      <xdr:colOff>1552575</xdr:colOff>
      <xdr:row>3088</xdr:row>
      <xdr:rowOff>1266825</xdr:rowOff>
    </xdr:to>
    <xdr:pic>
      <xdr:nvPicPr>
        <xdr:cNvPr id="1259" name="Имя " descr="Descr ">
          <a:extLst>
            <a:ext uri="{FF2B5EF4-FFF2-40B4-BE49-F238E27FC236}">
              <a16:creationId xmlns:a16="http://schemas.microsoft.com/office/drawing/2014/main" id="{00000000-0008-0000-0000-0000EB040000}"/>
            </a:ext>
          </a:extLst>
        </xdr:cNvPr>
        <xdr:cNvPicPr>
          <a:picLocks noChangeAspect="1"/>
        </xdr:cNvPicPr>
      </xdr:nvPicPr>
      <xdr:blipFill>
        <a:blip xmlns:r="http://schemas.openxmlformats.org/officeDocument/2006/relationships" r:embed="rId1258"/>
        <a:stretch>
          <a:fillRect/>
        </a:stretch>
      </xdr:blipFill>
      <xdr:spPr>
        <a:prstGeom prst="rect">
          <a:avLst/>
        </a:prstGeom>
        <a:ln w="9525">
          <a:solidFill>
            <a:srgbClr val="000000"/>
          </a:solidFill>
          <a:prstDash val="solid"/>
        </a:ln>
      </xdr:spPr>
    </xdr:pic>
    <xdr:clientData/>
  </xdr:twoCellAnchor>
  <xdr:twoCellAnchor>
    <xdr:from>
      <xdr:col>3</xdr:col>
      <xdr:colOff>114300</xdr:colOff>
      <xdr:row>3089</xdr:row>
      <xdr:rowOff>28575</xdr:rowOff>
    </xdr:from>
    <xdr:to>
      <xdr:col>3</xdr:col>
      <xdr:colOff>1552575</xdr:colOff>
      <xdr:row>3092</xdr:row>
      <xdr:rowOff>209550</xdr:rowOff>
    </xdr:to>
    <xdr:pic>
      <xdr:nvPicPr>
        <xdr:cNvPr id="1260" name="Имя " descr="Descr ">
          <a:extLst>
            <a:ext uri="{FF2B5EF4-FFF2-40B4-BE49-F238E27FC236}">
              <a16:creationId xmlns:a16="http://schemas.microsoft.com/office/drawing/2014/main" id="{00000000-0008-0000-0000-0000EC040000}"/>
            </a:ext>
          </a:extLst>
        </xdr:cNvPr>
        <xdr:cNvPicPr>
          <a:picLocks noChangeAspect="1"/>
        </xdr:cNvPicPr>
      </xdr:nvPicPr>
      <xdr:blipFill>
        <a:blip xmlns:r="http://schemas.openxmlformats.org/officeDocument/2006/relationships" r:embed="rId1259"/>
        <a:stretch>
          <a:fillRect/>
        </a:stretch>
      </xdr:blipFill>
      <xdr:spPr>
        <a:prstGeom prst="rect">
          <a:avLst/>
        </a:prstGeom>
        <a:ln w="9525">
          <a:solidFill>
            <a:srgbClr val="000000"/>
          </a:solidFill>
          <a:prstDash val="solid"/>
        </a:ln>
      </xdr:spPr>
    </xdr:pic>
    <xdr:clientData/>
  </xdr:twoCellAnchor>
  <xdr:twoCellAnchor>
    <xdr:from>
      <xdr:col>3</xdr:col>
      <xdr:colOff>114300</xdr:colOff>
      <xdr:row>3093</xdr:row>
      <xdr:rowOff>28575</xdr:rowOff>
    </xdr:from>
    <xdr:to>
      <xdr:col>3</xdr:col>
      <xdr:colOff>1552575</xdr:colOff>
      <xdr:row>3093</xdr:row>
      <xdr:rowOff>1266825</xdr:rowOff>
    </xdr:to>
    <xdr:pic>
      <xdr:nvPicPr>
        <xdr:cNvPr id="1261" name="Имя " descr="Descr ">
          <a:extLst>
            <a:ext uri="{FF2B5EF4-FFF2-40B4-BE49-F238E27FC236}">
              <a16:creationId xmlns:a16="http://schemas.microsoft.com/office/drawing/2014/main" id="{00000000-0008-0000-0000-0000ED040000}"/>
            </a:ext>
          </a:extLst>
        </xdr:cNvPr>
        <xdr:cNvPicPr>
          <a:picLocks noChangeAspect="1"/>
        </xdr:cNvPicPr>
      </xdr:nvPicPr>
      <xdr:blipFill>
        <a:blip xmlns:r="http://schemas.openxmlformats.org/officeDocument/2006/relationships" r:embed="rId1260"/>
        <a:stretch>
          <a:fillRect/>
        </a:stretch>
      </xdr:blipFill>
      <xdr:spPr>
        <a:prstGeom prst="rect">
          <a:avLst/>
        </a:prstGeom>
        <a:ln w="9525">
          <a:solidFill>
            <a:srgbClr val="000000"/>
          </a:solidFill>
          <a:prstDash val="solid"/>
        </a:ln>
      </xdr:spPr>
    </xdr:pic>
    <xdr:clientData/>
  </xdr:twoCellAnchor>
  <xdr:twoCellAnchor>
    <xdr:from>
      <xdr:col>3</xdr:col>
      <xdr:colOff>114300</xdr:colOff>
      <xdr:row>3094</xdr:row>
      <xdr:rowOff>28575</xdr:rowOff>
    </xdr:from>
    <xdr:to>
      <xdr:col>3</xdr:col>
      <xdr:colOff>1552575</xdr:colOff>
      <xdr:row>3094</xdr:row>
      <xdr:rowOff>1266825</xdr:rowOff>
    </xdr:to>
    <xdr:pic>
      <xdr:nvPicPr>
        <xdr:cNvPr id="1262" name="Имя " descr="Descr ">
          <a:extLst>
            <a:ext uri="{FF2B5EF4-FFF2-40B4-BE49-F238E27FC236}">
              <a16:creationId xmlns:a16="http://schemas.microsoft.com/office/drawing/2014/main" id="{00000000-0008-0000-0000-0000EE040000}"/>
            </a:ext>
          </a:extLst>
        </xdr:cNvPr>
        <xdr:cNvPicPr>
          <a:picLocks noChangeAspect="1"/>
        </xdr:cNvPicPr>
      </xdr:nvPicPr>
      <xdr:blipFill>
        <a:blip xmlns:r="http://schemas.openxmlformats.org/officeDocument/2006/relationships" r:embed="rId1261"/>
        <a:stretch>
          <a:fillRect/>
        </a:stretch>
      </xdr:blipFill>
      <xdr:spPr>
        <a:prstGeom prst="rect">
          <a:avLst/>
        </a:prstGeom>
        <a:ln w="9525">
          <a:solidFill>
            <a:srgbClr val="000000"/>
          </a:solidFill>
          <a:prstDash val="solid"/>
        </a:ln>
      </xdr:spPr>
    </xdr:pic>
    <xdr:clientData/>
  </xdr:twoCellAnchor>
  <xdr:twoCellAnchor>
    <xdr:from>
      <xdr:col>3</xdr:col>
      <xdr:colOff>114300</xdr:colOff>
      <xdr:row>3095</xdr:row>
      <xdr:rowOff>38100</xdr:rowOff>
    </xdr:from>
    <xdr:to>
      <xdr:col>3</xdr:col>
      <xdr:colOff>1552575</xdr:colOff>
      <xdr:row>3096</xdr:row>
      <xdr:rowOff>638175</xdr:rowOff>
    </xdr:to>
    <xdr:pic>
      <xdr:nvPicPr>
        <xdr:cNvPr id="1263" name="Имя " descr="Descr ">
          <a:extLst>
            <a:ext uri="{FF2B5EF4-FFF2-40B4-BE49-F238E27FC236}">
              <a16:creationId xmlns:a16="http://schemas.microsoft.com/office/drawing/2014/main" id="{00000000-0008-0000-0000-0000EF040000}"/>
            </a:ext>
          </a:extLst>
        </xdr:cNvPr>
        <xdr:cNvPicPr>
          <a:picLocks noChangeAspect="1"/>
        </xdr:cNvPicPr>
      </xdr:nvPicPr>
      <xdr:blipFill>
        <a:blip xmlns:r="http://schemas.openxmlformats.org/officeDocument/2006/relationships" r:embed="rId1262"/>
        <a:stretch>
          <a:fillRect/>
        </a:stretch>
      </xdr:blipFill>
      <xdr:spPr>
        <a:prstGeom prst="rect">
          <a:avLst/>
        </a:prstGeom>
        <a:ln w="9525">
          <a:solidFill>
            <a:srgbClr val="000000"/>
          </a:solidFill>
          <a:prstDash val="solid"/>
        </a:ln>
      </xdr:spPr>
    </xdr:pic>
    <xdr:clientData/>
  </xdr:twoCellAnchor>
  <xdr:twoCellAnchor>
    <xdr:from>
      <xdr:col>3</xdr:col>
      <xdr:colOff>114300</xdr:colOff>
      <xdr:row>3097</xdr:row>
      <xdr:rowOff>28575</xdr:rowOff>
    </xdr:from>
    <xdr:to>
      <xdr:col>3</xdr:col>
      <xdr:colOff>1552575</xdr:colOff>
      <xdr:row>3100</xdr:row>
      <xdr:rowOff>209550</xdr:rowOff>
    </xdr:to>
    <xdr:pic>
      <xdr:nvPicPr>
        <xdr:cNvPr id="1264" name="Имя " descr="Descr ">
          <a:extLst>
            <a:ext uri="{FF2B5EF4-FFF2-40B4-BE49-F238E27FC236}">
              <a16:creationId xmlns:a16="http://schemas.microsoft.com/office/drawing/2014/main" id="{00000000-0008-0000-0000-0000F0040000}"/>
            </a:ext>
          </a:extLst>
        </xdr:cNvPr>
        <xdr:cNvPicPr>
          <a:picLocks noChangeAspect="1"/>
        </xdr:cNvPicPr>
      </xdr:nvPicPr>
      <xdr:blipFill>
        <a:blip xmlns:r="http://schemas.openxmlformats.org/officeDocument/2006/relationships" r:embed="rId1263"/>
        <a:stretch>
          <a:fillRect/>
        </a:stretch>
      </xdr:blipFill>
      <xdr:spPr>
        <a:prstGeom prst="rect">
          <a:avLst/>
        </a:prstGeom>
        <a:ln w="9525">
          <a:solidFill>
            <a:srgbClr val="000000"/>
          </a:solidFill>
          <a:prstDash val="solid"/>
        </a:ln>
      </xdr:spPr>
    </xdr:pic>
    <xdr:clientData/>
  </xdr:twoCellAnchor>
  <xdr:twoCellAnchor>
    <xdr:from>
      <xdr:col>3</xdr:col>
      <xdr:colOff>114300</xdr:colOff>
      <xdr:row>3101</xdr:row>
      <xdr:rowOff>38100</xdr:rowOff>
    </xdr:from>
    <xdr:to>
      <xdr:col>3</xdr:col>
      <xdr:colOff>1552575</xdr:colOff>
      <xdr:row>3102</xdr:row>
      <xdr:rowOff>638175</xdr:rowOff>
    </xdr:to>
    <xdr:pic>
      <xdr:nvPicPr>
        <xdr:cNvPr id="1265" name="Имя " descr="Descr ">
          <a:extLst>
            <a:ext uri="{FF2B5EF4-FFF2-40B4-BE49-F238E27FC236}">
              <a16:creationId xmlns:a16="http://schemas.microsoft.com/office/drawing/2014/main" id="{00000000-0008-0000-0000-0000F1040000}"/>
            </a:ext>
          </a:extLst>
        </xdr:cNvPr>
        <xdr:cNvPicPr>
          <a:picLocks noChangeAspect="1"/>
        </xdr:cNvPicPr>
      </xdr:nvPicPr>
      <xdr:blipFill>
        <a:blip xmlns:r="http://schemas.openxmlformats.org/officeDocument/2006/relationships" r:embed="rId1264"/>
        <a:stretch>
          <a:fillRect/>
        </a:stretch>
      </xdr:blipFill>
      <xdr:spPr>
        <a:prstGeom prst="rect">
          <a:avLst/>
        </a:prstGeom>
        <a:ln w="9525">
          <a:solidFill>
            <a:srgbClr val="000000"/>
          </a:solidFill>
          <a:prstDash val="solid"/>
        </a:ln>
      </xdr:spPr>
    </xdr:pic>
    <xdr:clientData/>
  </xdr:twoCellAnchor>
  <xdr:twoCellAnchor>
    <xdr:from>
      <xdr:col>3</xdr:col>
      <xdr:colOff>114300</xdr:colOff>
      <xdr:row>3103</xdr:row>
      <xdr:rowOff>28575</xdr:rowOff>
    </xdr:from>
    <xdr:to>
      <xdr:col>3</xdr:col>
      <xdr:colOff>1552575</xdr:colOff>
      <xdr:row>3103</xdr:row>
      <xdr:rowOff>1266825</xdr:rowOff>
    </xdr:to>
    <xdr:pic>
      <xdr:nvPicPr>
        <xdr:cNvPr id="1266" name="Имя " descr="Descr ">
          <a:extLst>
            <a:ext uri="{FF2B5EF4-FFF2-40B4-BE49-F238E27FC236}">
              <a16:creationId xmlns:a16="http://schemas.microsoft.com/office/drawing/2014/main" id="{00000000-0008-0000-0000-0000F2040000}"/>
            </a:ext>
          </a:extLst>
        </xdr:cNvPr>
        <xdr:cNvPicPr>
          <a:picLocks noChangeAspect="1"/>
        </xdr:cNvPicPr>
      </xdr:nvPicPr>
      <xdr:blipFill>
        <a:blip xmlns:r="http://schemas.openxmlformats.org/officeDocument/2006/relationships" r:embed="rId1265"/>
        <a:stretch>
          <a:fillRect/>
        </a:stretch>
      </xdr:blipFill>
      <xdr:spPr>
        <a:prstGeom prst="rect">
          <a:avLst/>
        </a:prstGeom>
        <a:ln w="9525">
          <a:solidFill>
            <a:srgbClr val="000000"/>
          </a:solidFill>
          <a:prstDash val="solid"/>
        </a:ln>
      </xdr:spPr>
    </xdr:pic>
    <xdr:clientData/>
  </xdr:twoCellAnchor>
  <xdr:twoCellAnchor>
    <xdr:from>
      <xdr:col>3</xdr:col>
      <xdr:colOff>114300</xdr:colOff>
      <xdr:row>3104</xdr:row>
      <xdr:rowOff>28575</xdr:rowOff>
    </xdr:from>
    <xdr:to>
      <xdr:col>3</xdr:col>
      <xdr:colOff>1552575</xdr:colOff>
      <xdr:row>3104</xdr:row>
      <xdr:rowOff>1266825</xdr:rowOff>
    </xdr:to>
    <xdr:pic>
      <xdr:nvPicPr>
        <xdr:cNvPr id="1267" name="Имя " descr="Descr ">
          <a:extLst>
            <a:ext uri="{FF2B5EF4-FFF2-40B4-BE49-F238E27FC236}">
              <a16:creationId xmlns:a16="http://schemas.microsoft.com/office/drawing/2014/main" id="{00000000-0008-0000-0000-0000F3040000}"/>
            </a:ext>
          </a:extLst>
        </xdr:cNvPr>
        <xdr:cNvPicPr>
          <a:picLocks noChangeAspect="1"/>
        </xdr:cNvPicPr>
      </xdr:nvPicPr>
      <xdr:blipFill>
        <a:blip xmlns:r="http://schemas.openxmlformats.org/officeDocument/2006/relationships" r:embed="rId1266"/>
        <a:stretch>
          <a:fillRect/>
        </a:stretch>
      </xdr:blipFill>
      <xdr:spPr>
        <a:prstGeom prst="rect">
          <a:avLst/>
        </a:prstGeom>
        <a:ln w="9525">
          <a:solidFill>
            <a:srgbClr val="000000"/>
          </a:solidFill>
          <a:prstDash val="solid"/>
        </a:ln>
      </xdr:spPr>
    </xdr:pic>
    <xdr:clientData/>
  </xdr:twoCellAnchor>
  <xdr:twoCellAnchor>
    <xdr:from>
      <xdr:col>3</xdr:col>
      <xdr:colOff>114300</xdr:colOff>
      <xdr:row>3105</xdr:row>
      <xdr:rowOff>28575</xdr:rowOff>
    </xdr:from>
    <xdr:to>
      <xdr:col>3</xdr:col>
      <xdr:colOff>1552575</xdr:colOff>
      <xdr:row>3109</xdr:row>
      <xdr:rowOff>333375</xdr:rowOff>
    </xdr:to>
    <xdr:pic>
      <xdr:nvPicPr>
        <xdr:cNvPr id="1268" name="Имя " descr="Descr ">
          <a:extLst>
            <a:ext uri="{FF2B5EF4-FFF2-40B4-BE49-F238E27FC236}">
              <a16:creationId xmlns:a16="http://schemas.microsoft.com/office/drawing/2014/main" id="{00000000-0008-0000-0000-0000F4040000}"/>
            </a:ext>
          </a:extLst>
        </xdr:cNvPr>
        <xdr:cNvPicPr>
          <a:picLocks noChangeAspect="1"/>
        </xdr:cNvPicPr>
      </xdr:nvPicPr>
      <xdr:blipFill>
        <a:blip xmlns:r="http://schemas.openxmlformats.org/officeDocument/2006/relationships" r:embed="rId1267"/>
        <a:stretch>
          <a:fillRect/>
        </a:stretch>
      </xdr:blipFill>
      <xdr:spPr>
        <a:prstGeom prst="rect">
          <a:avLst/>
        </a:prstGeom>
        <a:ln w="9525">
          <a:solidFill>
            <a:srgbClr val="000000"/>
          </a:solidFill>
          <a:prstDash val="solid"/>
        </a:ln>
      </xdr:spPr>
    </xdr:pic>
    <xdr:clientData/>
  </xdr:twoCellAnchor>
  <xdr:twoCellAnchor>
    <xdr:from>
      <xdr:col>3</xdr:col>
      <xdr:colOff>114300</xdr:colOff>
      <xdr:row>3110</xdr:row>
      <xdr:rowOff>28575</xdr:rowOff>
    </xdr:from>
    <xdr:to>
      <xdr:col>3</xdr:col>
      <xdr:colOff>1552575</xdr:colOff>
      <xdr:row>3114</xdr:row>
      <xdr:rowOff>333375</xdr:rowOff>
    </xdr:to>
    <xdr:pic>
      <xdr:nvPicPr>
        <xdr:cNvPr id="1269" name="Имя " descr="Descr ">
          <a:extLst>
            <a:ext uri="{FF2B5EF4-FFF2-40B4-BE49-F238E27FC236}">
              <a16:creationId xmlns:a16="http://schemas.microsoft.com/office/drawing/2014/main" id="{00000000-0008-0000-0000-0000F5040000}"/>
            </a:ext>
          </a:extLst>
        </xdr:cNvPr>
        <xdr:cNvPicPr>
          <a:picLocks noChangeAspect="1"/>
        </xdr:cNvPicPr>
      </xdr:nvPicPr>
      <xdr:blipFill>
        <a:blip xmlns:r="http://schemas.openxmlformats.org/officeDocument/2006/relationships" r:embed="rId1268"/>
        <a:stretch>
          <a:fillRect/>
        </a:stretch>
      </xdr:blipFill>
      <xdr:spPr>
        <a:prstGeom prst="rect">
          <a:avLst/>
        </a:prstGeom>
        <a:ln w="9525">
          <a:solidFill>
            <a:srgbClr val="000000"/>
          </a:solidFill>
          <a:prstDash val="solid"/>
        </a:ln>
      </xdr:spPr>
    </xdr:pic>
    <xdr:clientData/>
  </xdr:twoCellAnchor>
  <xdr:twoCellAnchor>
    <xdr:from>
      <xdr:col>3</xdr:col>
      <xdr:colOff>114300</xdr:colOff>
      <xdr:row>3115</xdr:row>
      <xdr:rowOff>28575</xdr:rowOff>
    </xdr:from>
    <xdr:to>
      <xdr:col>3</xdr:col>
      <xdr:colOff>1552575</xdr:colOff>
      <xdr:row>3119</xdr:row>
      <xdr:rowOff>333375</xdr:rowOff>
    </xdr:to>
    <xdr:pic>
      <xdr:nvPicPr>
        <xdr:cNvPr id="1270" name="Имя " descr="Descr ">
          <a:extLst>
            <a:ext uri="{FF2B5EF4-FFF2-40B4-BE49-F238E27FC236}">
              <a16:creationId xmlns:a16="http://schemas.microsoft.com/office/drawing/2014/main" id="{00000000-0008-0000-0000-0000F6040000}"/>
            </a:ext>
          </a:extLst>
        </xdr:cNvPr>
        <xdr:cNvPicPr>
          <a:picLocks noChangeAspect="1"/>
        </xdr:cNvPicPr>
      </xdr:nvPicPr>
      <xdr:blipFill>
        <a:blip xmlns:r="http://schemas.openxmlformats.org/officeDocument/2006/relationships" r:embed="rId1269"/>
        <a:stretch>
          <a:fillRect/>
        </a:stretch>
      </xdr:blipFill>
      <xdr:spPr>
        <a:prstGeom prst="rect">
          <a:avLst/>
        </a:prstGeom>
        <a:ln w="9525">
          <a:solidFill>
            <a:srgbClr val="000000"/>
          </a:solidFill>
          <a:prstDash val="solid"/>
        </a:ln>
      </xdr:spPr>
    </xdr:pic>
    <xdr:clientData/>
  </xdr:twoCellAnchor>
  <xdr:twoCellAnchor>
    <xdr:from>
      <xdr:col>3</xdr:col>
      <xdr:colOff>114300</xdr:colOff>
      <xdr:row>3120</xdr:row>
      <xdr:rowOff>28575</xdr:rowOff>
    </xdr:from>
    <xdr:to>
      <xdr:col>3</xdr:col>
      <xdr:colOff>1552575</xdr:colOff>
      <xdr:row>3120</xdr:row>
      <xdr:rowOff>1266825</xdr:rowOff>
    </xdr:to>
    <xdr:pic>
      <xdr:nvPicPr>
        <xdr:cNvPr id="1271" name="Имя " descr="Descr ">
          <a:extLst>
            <a:ext uri="{FF2B5EF4-FFF2-40B4-BE49-F238E27FC236}">
              <a16:creationId xmlns:a16="http://schemas.microsoft.com/office/drawing/2014/main" id="{00000000-0008-0000-0000-0000F7040000}"/>
            </a:ext>
          </a:extLst>
        </xdr:cNvPr>
        <xdr:cNvPicPr>
          <a:picLocks noChangeAspect="1"/>
        </xdr:cNvPicPr>
      </xdr:nvPicPr>
      <xdr:blipFill>
        <a:blip xmlns:r="http://schemas.openxmlformats.org/officeDocument/2006/relationships" r:embed="rId1270"/>
        <a:stretch>
          <a:fillRect/>
        </a:stretch>
      </xdr:blipFill>
      <xdr:spPr>
        <a:prstGeom prst="rect">
          <a:avLst/>
        </a:prstGeom>
        <a:ln w="9525">
          <a:solidFill>
            <a:srgbClr val="000000"/>
          </a:solidFill>
          <a:prstDash val="solid"/>
        </a:ln>
      </xdr:spPr>
    </xdr:pic>
    <xdr:clientData/>
  </xdr:twoCellAnchor>
  <xdr:twoCellAnchor>
    <xdr:from>
      <xdr:col>3</xdr:col>
      <xdr:colOff>114300</xdr:colOff>
      <xdr:row>3121</xdr:row>
      <xdr:rowOff>28575</xdr:rowOff>
    </xdr:from>
    <xdr:to>
      <xdr:col>3</xdr:col>
      <xdr:colOff>1552575</xdr:colOff>
      <xdr:row>3121</xdr:row>
      <xdr:rowOff>1266825</xdr:rowOff>
    </xdr:to>
    <xdr:pic>
      <xdr:nvPicPr>
        <xdr:cNvPr id="1272" name="Имя " descr="Descr ">
          <a:extLst>
            <a:ext uri="{FF2B5EF4-FFF2-40B4-BE49-F238E27FC236}">
              <a16:creationId xmlns:a16="http://schemas.microsoft.com/office/drawing/2014/main" id="{00000000-0008-0000-0000-0000F8040000}"/>
            </a:ext>
          </a:extLst>
        </xdr:cNvPr>
        <xdr:cNvPicPr>
          <a:picLocks noChangeAspect="1"/>
        </xdr:cNvPicPr>
      </xdr:nvPicPr>
      <xdr:blipFill>
        <a:blip xmlns:r="http://schemas.openxmlformats.org/officeDocument/2006/relationships" r:embed="rId1271"/>
        <a:stretch>
          <a:fillRect/>
        </a:stretch>
      </xdr:blipFill>
      <xdr:spPr>
        <a:prstGeom prst="rect">
          <a:avLst/>
        </a:prstGeom>
        <a:ln w="9525">
          <a:solidFill>
            <a:srgbClr val="000000"/>
          </a:solidFill>
          <a:prstDash val="solid"/>
        </a:ln>
      </xdr:spPr>
    </xdr:pic>
    <xdr:clientData/>
  </xdr:twoCellAnchor>
  <xdr:twoCellAnchor>
    <xdr:from>
      <xdr:col>3</xdr:col>
      <xdr:colOff>114300</xdr:colOff>
      <xdr:row>3122</xdr:row>
      <xdr:rowOff>38100</xdr:rowOff>
    </xdr:from>
    <xdr:to>
      <xdr:col>3</xdr:col>
      <xdr:colOff>1552575</xdr:colOff>
      <xdr:row>3123</xdr:row>
      <xdr:rowOff>638175</xdr:rowOff>
    </xdr:to>
    <xdr:pic>
      <xdr:nvPicPr>
        <xdr:cNvPr id="1273" name="Имя " descr="Descr ">
          <a:extLst>
            <a:ext uri="{FF2B5EF4-FFF2-40B4-BE49-F238E27FC236}">
              <a16:creationId xmlns:a16="http://schemas.microsoft.com/office/drawing/2014/main" id="{00000000-0008-0000-0000-0000F9040000}"/>
            </a:ext>
          </a:extLst>
        </xdr:cNvPr>
        <xdr:cNvPicPr>
          <a:picLocks noChangeAspect="1"/>
        </xdr:cNvPicPr>
      </xdr:nvPicPr>
      <xdr:blipFill>
        <a:blip xmlns:r="http://schemas.openxmlformats.org/officeDocument/2006/relationships" r:embed="rId1272"/>
        <a:stretch>
          <a:fillRect/>
        </a:stretch>
      </xdr:blipFill>
      <xdr:spPr>
        <a:prstGeom prst="rect">
          <a:avLst/>
        </a:prstGeom>
        <a:ln w="9525">
          <a:solidFill>
            <a:srgbClr val="000000"/>
          </a:solidFill>
          <a:prstDash val="solid"/>
        </a:ln>
      </xdr:spPr>
    </xdr:pic>
    <xdr:clientData/>
  </xdr:twoCellAnchor>
  <xdr:twoCellAnchor>
    <xdr:from>
      <xdr:col>3</xdr:col>
      <xdr:colOff>114300</xdr:colOff>
      <xdr:row>3124</xdr:row>
      <xdr:rowOff>28575</xdr:rowOff>
    </xdr:from>
    <xdr:to>
      <xdr:col>3</xdr:col>
      <xdr:colOff>1552575</xdr:colOff>
      <xdr:row>3127</xdr:row>
      <xdr:rowOff>209550</xdr:rowOff>
    </xdr:to>
    <xdr:pic>
      <xdr:nvPicPr>
        <xdr:cNvPr id="1274" name="Имя " descr="Descr ">
          <a:extLst>
            <a:ext uri="{FF2B5EF4-FFF2-40B4-BE49-F238E27FC236}">
              <a16:creationId xmlns:a16="http://schemas.microsoft.com/office/drawing/2014/main" id="{00000000-0008-0000-0000-0000FA040000}"/>
            </a:ext>
          </a:extLst>
        </xdr:cNvPr>
        <xdr:cNvPicPr>
          <a:picLocks noChangeAspect="1"/>
        </xdr:cNvPicPr>
      </xdr:nvPicPr>
      <xdr:blipFill>
        <a:blip xmlns:r="http://schemas.openxmlformats.org/officeDocument/2006/relationships" r:embed="rId1273"/>
        <a:stretch>
          <a:fillRect/>
        </a:stretch>
      </xdr:blipFill>
      <xdr:spPr>
        <a:prstGeom prst="rect">
          <a:avLst/>
        </a:prstGeom>
        <a:ln w="9525">
          <a:solidFill>
            <a:srgbClr val="000000"/>
          </a:solidFill>
          <a:prstDash val="solid"/>
        </a:ln>
      </xdr:spPr>
    </xdr:pic>
    <xdr:clientData/>
  </xdr:twoCellAnchor>
  <xdr:twoCellAnchor>
    <xdr:from>
      <xdr:col>3</xdr:col>
      <xdr:colOff>114300</xdr:colOff>
      <xdr:row>3128</xdr:row>
      <xdr:rowOff>28575</xdr:rowOff>
    </xdr:from>
    <xdr:to>
      <xdr:col>3</xdr:col>
      <xdr:colOff>1552575</xdr:colOff>
      <xdr:row>3128</xdr:row>
      <xdr:rowOff>1266825</xdr:rowOff>
    </xdr:to>
    <xdr:pic>
      <xdr:nvPicPr>
        <xdr:cNvPr id="1275" name="Имя " descr="Descr ">
          <a:extLst>
            <a:ext uri="{FF2B5EF4-FFF2-40B4-BE49-F238E27FC236}">
              <a16:creationId xmlns:a16="http://schemas.microsoft.com/office/drawing/2014/main" id="{00000000-0008-0000-0000-0000FB040000}"/>
            </a:ext>
          </a:extLst>
        </xdr:cNvPr>
        <xdr:cNvPicPr>
          <a:picLocks noChangeAspect="1"/>
        </xdr:cNvPicPr>
      </xdr:nvPicPr>
      <xdr:blipFill>
        <a:blip xmlns:r="http://schemas.openxmlformats.org/officeDocument/2006/relationships" r:embed="rId1274"/>
        <a:stretch>
          <a:fillRect/>
        </a:stretch>
      </xdr:blipFill>
      <xdr:spPr>
        <a:prstGeom prst="rect">
          <a:avLst/>
        </a:prstGeom>
        <a:ln w="9525">
          <a:solidFill>
            <a:srgbClr val="000000"/>
          </a:solidFill>
          <a:prstDash val="solid"/>
        </a:ln>
      </xdr:spPr>
    </xdr:pic>
    <xdr:clientData/>
  </xdr:twoCellAnchor>
  <xdr:twoCellAnchor>
    <xdr:from>
      <xdr:col>3</xdr:col>
      <xdr:colOff>114300</xdr:colOff>
      <xdr:row>3129</xdr:row>
      <xdr:rowOff>28575</xdr:rowOff>
    </xdr:from>
    <xdr:to>
      <xdr:col>3</xdr:col>
      <xdr:colOff>1552575</xdr:colOff>
      <xdr:row>3129</xdr:row>
      <xdr:rowOff>1266825</xdr:rowOff>
    </xdr:to>
    <xdr:pic>
      <xdr:nvPicPr>
        <xdr:cNvPr id="1276" name="Имя " descr="Descr ">
          <a:extLst>
            <a:ext uri="{FF2B5EF4-FFF2-40B4-BE49-F238E27FC236}">
              <a16:creationId xmlns:a16="http://schemas.microsoft.com/office/drawing/2014/main" id="{00000000-0008-0000-0000-0000FC040000}"/>
            </a:ext>
          </a:extLst>
        </xdr:cNvPr>
        <xdr:cNvPicPr>
          <a:picLocks noChangeAspect="1"/>
        </xdr:cNvPicPr>
      </xdr:nvPicPr>
      <xdr:blipFill>
        <a:blip xmlns:r="http://schemas.openxmlformats.org/officeDocument/2006/relationships" r:embed="rId1275"/>
        <a:stretch>
          <a:fillRect/>
        </a:stretch>
      </xdr:blipFill>
      <xdr:spPr>
        <a:prstGeom prst="rect">
          <a:avLst/>
        </a:prstGeom>
        <a:ln w="9525">
          <a:solidFill>
            <a:srgbClr val="000000"/>
          </a:solidFill>
          <a:prstDash val="solid"/>
        </a:ln>
      </xdr:spPr>
    </xdr:pic>
    <xdr:clientData/>
  </xdr:twoCellAnchor>
  <xdr:twoCellAnchor>
    <xdr:from>
      <xdr:col>3</xdr:col>
      <xdr:colOff>114300</xdr:colOff>
      <xdr:row>3130</xdr:row>
      <xdr:rowOff>38100</xdr:rowOff>
    </xdr:from>
    <xdr:to>
      <xdr:col>3</xdr:col>
      <xdr:colOff>1552575</xdr:colOff>
      <xdr:row>3131</xdr:row>
      <xdr:rowOff>638175</xdr:rowOff>
    </xdr:to>
    <xdr:pic>
      <xdr:nvPicPr>
        <xdr:cNvPr id="1277" name="Имя " descr="Descr ">
          <a:extLst>
            <a:ext uri="{FF2B5EF4-FFF2-40B4-BE49-F238E27FC236}">
              <a16:creationId xmlns:a16="http://schemas.microsoft.com/office/drawing/2014/main" id="{00000000-0008-0000-0000-0000FD040000}"/>
            </a:ext>
          </a:extLst>
        </xdr:cNvPr>
        <xdr:cNvPicPr>
          <a:picLocks noChangeAspect="1"/>
        </xdr:cNvPicPr>
      </xdr:nvPicPr>
      <xdr:blipFill>
        <a:blip xmlns:r="http://schemas.openxmlformats.org/officeDocument/2006/relationships" r:embed="rId1276"/>
        <a:stretch>
          <a:fillRect/>
        </a:stretch>
      </xdr:blipFill>
      <xdr:spPr>
        <a:prstGeom prst="rect">
          <a:avLst/>
        </a:prstGeom>
        <a:ln w="9525">
          <a:solidFill>
            <a:srgbClr val="000000"/>
          </a:solidFill>
          <a:prstDash val="solid"/>
        </a:ln>
      </xdr:spPr>
    </xdr:pic>
    <xdr:clientData/>
  </xdr:twoCellAnchor>
  <xdr:twoCellAnchor>
    <xdr:from>
      <xdr:col>3</xdr:col>
      <xdr:colOff>114300</xdr:colOff>
      <xdr:row>3132</xdr:row>
      <xdr:rowOff>28575</xdr:rowOff>
    </xdr:from>
    <xdr:to>
      <xdr:col>3</xdr:col>
      <xdr:colOff>1552575</xdr:colOff>
      <xdr:row>3132</xdr:row>
      <xdr:rowOff>1266825</xdr:rowOff>
    </xdr:to>
    <xdr:pic>
      <xdr:nvPicPr>
        <xdr:cNvPr id="1278" name="Имя " descr="Descr ">
          <a:extLst>
            <a:ext uri="{FF2B5EF4-FFF2-40B4-BE49-F238E27FC236}">
              <a16:creationId xmlns:a16="http://schemas.microsoft.com/office/drawing/2014/main" id="{00000000-0008-0000-0000-0000FE040000}"/>
            </a:ext>
          </a:extLst>
        </xdr:cNvPr>
        <xdr:cNvPicPr>
          <a:picLocks noChangeAspect="1"/>
        </xdr:cNvPicPr>
      </xdr:nvPicPr>
      <xdr:blipFill>
        <a:blip xmlns:r="http://schemas.openxmlformats.org/officeDocument/2006/relationships" r:embed="rId1277"/>
        <a:stretch>
          <a:fillRect/>
        </a:stretch>
      </xdr:blipFill>
      <xdr:spPr>
        <a:prstGeom prst="rect">
          <a:avLst/>
        </a:prstGeom>
        <a:ln w="9525">
          <a:solidFill>
            <a:srgbClr val="000000"/>
          </a:solidFill>
          <a:prstDash val="solid"/>
        </a:ln>
      </xdr:spPr>
    </xdr:pic>
    <xdr:clientData/>
  </xdr:twoCellAnchor>
  <xdr:twoCellAnchor>
    <xdr:from>
      <xdr:col>3</xdr:col>
      <xdr:colOff>114300</xdr:colOff>
      <xdr:row>3133</xdr:row>
      <xdr:rowOff>28575</xdr:rowOff>
    </xdr:from>
    <xdr:to>
      <xdr:col>3</xdr:col>
      <xdr:colOff>1552575</xdr:colOff>
      <xdr:row>3133</xdr:row>
      <xdr:rowOff>1266825</xdr:rowOff>
    </xdr:to>
    <xdr:pic>
      <xdr:nvPicPr>
        <xdr:cNvPr id="1279" name="Имя " descr="Descr ">
          <a:extLst>
            <a:ext uri="{FF2B5EF4-FFF2-40B4-BE49-F238E27FC236}">
              <a16:creationId xmlns:a16="http://schemas.microsoft.com/office/drawing/2014/main" id="{00000000-0008-0000-0000-0000FF040000}"/>
            </a:ext>
          </a:extLst>
        </xdr:cNvPr>
        <xdr:cNvPicPr>
          <a:picLocks noChangeAspect="1"/>
        </xdr:cNvPicPr>
      </xdr:nvPicPr>
      <xdr:blipFill>
        <a:blip xmlns:r="http://schemas.openxmlformats.org/officeDocument/2006/relationships" r:embed="rId1278"/>
        <a:stretch>
          <a:fillRect/>
        </a:stretch>
      </xdr:blipFill>
      <xdr:spPr>
        <a:prstGeom prst="rect">
          <a:avLst/>
        </a:prstGeom>
        <a:ln w="9525">
          <a:solidFill>
            <a:srgbClr val="000000"/>
          </a:solidFill>
          <a:prstDash val="solid"/>
        </a:ln>
      </xdr:spPr>
    </xdr:pic>
    <xdr:clientData/>
  </xdr:twoCellAnchor>
  <xdr:twoCellAnchor>
    <xdr:from>
      <xdr:col>3</xdr:col>
      <xdr:colOff>114300</xdr:colOff>
      <xdr:row>3134</xdr:row>
      <xdr:rowOff>28575</xdr:rowOff>
    </xdr:from>
    <xdr:to>
      <xdr:col>3</xdr:col>
      <xdr:colOff>1552575</xdr:colOff>
      <xdr:row>3136</xdr:row>
      <xdr:rowOff>419100</xdr:rowOff>
    </xdr:to>
    <xdr:pic>
      <xdr:nvPicPr>
        <xdr:cNvPr id="1280" name="Имя " descr="Descr ">
          <a:extLst>
            <a:ext uri="{FF2B5EF4-FFF2-40B4-BE49-F238E27FC236}">
              <a16:creationId xmlns:a16="http://schemas.microsoft.com/office/drawing/2014/main" id="{00000000-0008-0000-0000-000000050000}"/>
            </a:ext>
          </a:extLst>
        </xdr:cNvPr>
        <xdr:cNvPicPr>
          <a:picLocks noChangeAspect="1"/>
        </xdr:cNvPicPr>
      </xdr:nvPicPr>
      <xdr:blipFill>
        <a:blip xmlns:r="http://schemas.openxmlformats.org/officeDocument/2006/relationships" r:embed="rId1279"/>
        <a:stretch>
          <a:fillRect/>
        </a:stretch>
      </xdr:blipFill>
      <xdr:spPr>
        <a:prstGeom prst="rect">
          <a:avLst/>
        </a:prstGeom>
        <a:ln w="9525">
          <a:solidFill>
            <a:srgbClr val="000000"/>
          </a:solidFill>
          <a:prstDash val="solid"/>
        </a:ln>
      </xdr:spPr>
    </xdr:pic>
    <xdr:clientData/>
  </xdr:twoCellAnchor>
  <xdr:twoCellAnchor>
    <xdr:from>
      <xdr:col>3</xdr:col>
      <xdr:colOff>114300</xdr:colOff>
      <xdr:row>3137</xdr:row>
      <xdr:rowOff>28575</xdr:rowOff>
    </xdr:from>
    <xdr:to>
      <xdr:col>3</xdr:col>
      <xdr:colOff>1552575</xdr:colOff>
      <xdr:row>3137</xdr:row>
      <xdr:rowOff>1266825</xdr:rowOff>
    </xdr:to>
    <xdr:pic>
      <xdr:nvPicPr>
        <xdr:cNvPr id="1281" name="Имя " descr="Descr ">
          <a:extLst>
            <a:ext uri="{FF2B5EF4-FFF2-40B4-BE49-F238E27FC236}">
              <a16:creationId xmlns:a16="http://schemas.microsoft.com/office/drawing/2014/main" id="{00000000-0008-0000-0000-000001050000}"/>
            </a:ext>
          </a:extLst>
        </xdr:cNvPr>
        <xdr:cNvPicPr>
          <a:picLocks noChangeAspect="1"/>
        </xdr:cNvPicPr>
      </xdr:nvPicPr>
      <xdr:blipFill>
        <a:blip xmlns:r="http://schemas.openxmlformats.org/officeDocument/2006/relationships" r:embed="rId1280"/>
        <a:stretch>
          <a:fillRect/>
        </a:stretch>
      </xdr:blipFill>
      <xdr:spPr>
        <a:prstGeom prst="rect">
          <a:avLst/>
        </a:prstGeom>
        <a:ln w="9525">
          <a:solidFill>
            <a:srgbClr val="000000"/>
          </a:solidFill>
          <a:prstDash val="solid"/>
        </a:ln>
      </xdr:spPr>
    </xdr:pic>
    <xdr:clientData/>
  </xdr:twoCellAnchor>
  <xdr:twoCellAnchor>
    <xdr:from>
      <xdr:col>3</xdr:col>
      <xdr:colOff>114300</xdr:colOff>
      <xdr:row>3138</xdr:row>
      <xdr:rowOff>28575</xdr:rowOff>
    </xdr:from>
    <xdr:to>
      <xdr:col>3</xdr:col>
      <xdr:colOff>1552575</xdr:colOff>
      <xdr:row>3140</xdr:row>
      <xdr:rowOff>419100</xdr:rowOff>
    </xdr:to>
    <xdr:pic>
      <xdr:nvPicPr>
        <xdr:cNvPr id="1282" name="Имя " descr="Descr ">
          <a:extLst>
            <a:ext uri="{FF2B5EF4-FFF2-40B4-BE49-F238E27FC236}">
              <a16:creationId xmlns:a16="http://schemas.microsoft.com/office/drawing/2014/main" id="{00000000-0008-0000-0000-000002050000}"/>
            </a:ext>
          </a:extLst>
        </xdr:cNvPr>
        <xdr:cNvPicPr>
          <a:picLocks noChangeAspect="1"/>
        </xdr:cNvPicPr>
      </xdr:nvPicPr>
      <xdr:blipFill>
        <a:blip xmlns:r="http://schemas.openxmlformats.org/officeDocument/2006/relationships" r:embed="rId1281"/>
        <a:stretch>
          <a:fillRect/>
        </a:stretch>
      </xdr:blipFill>
      <xdr:spPr>
        <a:prstGeom prst="rect">
          <a:avLst/>
        </a:prstGeom>
        <a:ln w="9525">
          <a:solidFill>
            <a:srgbClr val="000000"/>
          </a:solidFill>
          <a:prstDash val="solid"/>
        </a:ln>
      </xdr:spPr>
    </xdr:pic>
    <xdr:clientData/>
  </xdr:twoCellAnchor>
  <xdr:twoCellAnchor>
    <xdr:from>
      <xdr:col>3</xdr:col>
      <xdr:colOff>114300</xdr:colOff>
      <xdr:row>3141</xdr:row>
      <xdr:rowOff>28575</xdr:rowOff>
    </xdr:from>
    <xdr:to>
      <xdr:col>3</xdr:col>
      <xdr:colOff>1552575</xdr:colOff>
      <xdr:row>3143</xdr:row>
      <xdr:rowOff>419100</xdr:rowOff>
    </xdr:to>
    <xdr:pic>
      <xdr:nvPicPr>
        <xdr:cNvPr id="1283" name="Имя " descr="Descr ">
          <a:extLst>
            <a:ext uri="{FF2B5EF4-FFF2-40B4-BE49-F238E27FC236}">
              <a16:creationId xmlns:a16="http://schemas.microsoft.com/office/drawing/2014/main" id="{00000000-0008-0000-0000-000003050000}"/>
            </a:ext>
          </a:extLst>
        </xdr:cNvPr>
        <xdr:cNvPicPr>
          <a:picLocks noChangeAspect="1"/>
        </xdr:cNvPicPr>
      </xdr:nvPicPr>
      <xdr:blipFill>
        <a:blip xmlns:r="http://schemas.openxmlformats.org/officeDocument/2006/relationships" r:embed="rId1282"/>
        <a:stretch>
          <a:fillRect/>
        </a:stretch>
      </xdr:blipFill>
      <xdr:spPr>
        <a:prstGeom prst="rect">
          <a:avLst/>
        </a:prstGeom>
        <a:ln w="9525">
          <a:solidFill>
            <a:srgbClr val="000000"/>
          </a:solidFill>
          <a:prstDash val="solid"/>
        </a:ln>
      </xdr:spPr>
    </xdr:pic>
    <xdr:clientData/>
  </xdr:twoCellAnchor>
  <xdr:twoCellAnchor>
    <xdr:from>
      <xdr:col>3</xdr:col>
      <xdr:colOff>114300</xdr:colOff>
      <xdr:row>3144</xdr:row>
      <xdr:rowOff>38100</xdr:rowOff>
    </xdr:from>
    <xdr:to>
      <xdr:col>3</xdr:col>
      <xdr:colOff>1552575</xdr:colOff>
      <xdr:row>3145</xdr:row>
      <xdr:rowOff>638175</xdr:rowOff>
    </xdr:to>
    <xdr:pic>
      <xdr:nvPicPr>
        <xdr:cNvPr id="1284" name="Имя " descr="Descr ">
          <a:extLst>
            <a:ext uri="{FF2B5EF4-FFF2-40B4-BE49-F238E27FC236}">
              <a16:creationId xmlns:a16="http://schemas.microsoft.com/office/drawing/2014/main" id="{00000000-0008-0000-0000-000004050000}"/>
            </a:ext>
          </a:extLst>
        </xdr:cNvPr>
        <xdr:cNvPicPr>
          <a:picLocks noChangeAspect="1"/>
        </xdr:cNvPicPr>
      </xdr:nvPicPr>
      <xdr:blipFill>
        <a:blip xmlns:r="http://schemas.openxmlformats.org/officeDocument/2006/relationships" r:embed="rId1283"/>
        <a:stretch>
          <a:fillRect/>
        </a:stretch>
      </xdr:blipFill>
      <xdr:spPr>
        <a:prstGeom prst="rect">
          <a:avLst/>
        </a:prstGeom>
        <a:ln w="9525">
          <a:solidFill>
            <a:srgbClr val="000000"/>
          </a:solidFill>
          <a:prstDash val="solid"/>
        </a:ln>
      </xdr:spPr>
    </xdr:pic>
    <xdr:clientData/>
  </xdr:twoCellAnchor>
  <xdr:twoCellAnchor>
    <xdr:from>
      <xdr:col>3</xdr:col>
      <xdr:colOff>114300</xdr:colOff>
      <xdr:row>3146</xdr:row>
      <xdr:rowOff>28575</xdr:rowOff>
    </xdr:from>
    <xdr:to>
      <xdr:col>3</xdr:col>
      <xdr:colOff>1552575</xdr:colOff>
      <xdr:row>3146</xdr:row>
      <xdr:rowOff>1266825</xdr:rowOff>
    </xdr:to>
    <xdr:pic>
      <xdr:nvPicPr>
        <xdr:cNvPr id="1285" name="Имя " descr="Descr ">
          <a:extLst>
            <a:ext uri="{FF2B5EF4-FFF2-40B4-BE49-F238E27FC236}">
              <a16:creationId xmlns:a16="http://schemas.microsoft.com/office/drawing/2014/main" id="{00000000-0008-0000-0000-000005050000}"/>
            </a:ext>
          </a:extLst>
        </xdr:cNvPr>
        <xdr:cNvPicPr>
          <a:picLocks noChangeAspect="1"/>
        </xdr:cNvPicPr>
      </xdr:nvPicPr>
      <xdr:blipFill>
        <a:blip xmlns:r="http://schemas.openxmlformats.org/officeDocument/2006/relationships" r:embed="rId1284"/>
        <a:stretch>
          <a:fillRect/>
        </a:stretch>
      </xdr:blipFill>
      <xdr:spPr>
        <a:prstGeom prst="rect">
          <a:avLst/>
        </a:prstGeom>
        <a:ln w="9525">
          <a:solidFill>
            <a:srgbClr val="000000"/>
          </a:solidFill>
          <a:prstDash val="solid"/>
        </a:ln>
      </xdr:spPr>
    </xdr:pic>
    <xdr:clientData/>
  </xdr:twoCellAnchor>
  <xdr:twoCellAnchor>
    <xdr:from>
      <xdr:col>3</xdr:col>
      <xdr:colOff>114300</xdr:colOff>
      <xdr:row>3147</xdr:row>
      <xdr:rowOff>28575</xdr:rowOff>
    </xdr:from>
    <xdr:to>
      <xdr:col>3</xdr:col>
      <xdr:colOff>1552575</xdr:colOff>
      <xdr:row>3147</xdr:row>
      <xdr:rowOff>1266825</xdr:rowOff>
    </xdr:to>
    <xdr:pic>
      <xdr:nvPicPr>
        <xdr:cNvPr id="1286" name="Имя " descr="Descr ">
          <a:extLst>
            <a:ext uri="{FF2B5EF4-FFF2-40B4-BE49-F238E27FC236}">
              <a16:creationId xmlns:a16="http://schemas.microsoft.com/office/drawing/2014/main" id="{00000000-0008-0000-0000-000006050000}"/>
            </a:ext>
          </a:extLst>
        </xdr:cNvPr>
        <xdr:cNvPicPr>
          <a:picLocks noChangeAspect="1"/>
        </xdr:cNvPicPr>
      </xdr:nvPicPr>
      <xdr:blipFill>
        <a:blip xmlns:r="http://schemas.openxmlformats.org/officeDocument/2006/relationships" r:embed="rId1285"/>
        <a:stretch>
          <a:fillRect/>
        </a:stretch>
      </xdr:blipFill>
      <xdr:spPr>
        <a:prstGeom prst="rect">
          <a:avLst/>
        </a:prstGeom>
        <a:ln w="9525">
          <a:solidFill>
            <a:srgbClr val="000000"/>
          </a:solidFill>
          <a:prstDash val="solid"/>
        </a:ln>
      </xdr:spPr>
    </xdr:pic>
    <xdr:clientData/>
  </xdr:twoCellAnchor>
  <xdr:twoCellAnchor>
    <xdr:from>
      <xdr:col>3</xdr:col>
      <xdr:colOff>114300</xdr:colOff>
      <xdr:row>3148</xdr:row>
      <xdr:rowOff>38100</xdr:rowOff>
    </xdr:from>
    <xdr:to>
      <xdr:col>3</xdr:col>
      <xdr:colOff>1552575</xdr:colOff>
      <xdr:row>3149</xdr:row>
      <xdr:rowOff>638175</xdr:rowOff>
    </xdr:to>
    <xdr:pic>
      <xdr:nvPicPr>
        <xdr:cNvPr id="1287" name="Имя " descr="Descr ">
          <a:extLst>
            <a:ext uri="{FF2B5EF4-FFF2-40B4-BE49-F238E27FC236}">
              <a16:creationId xmlns:a16="http://schemas.microsoft.com/office/drawing/2014/main" id="{00000000-0008-0000-0000-000007050000}"/>
            </a:ext>
          </a:extLst>
        </xdr:cNvPr>
        <xdr:cNvPicPr>
          <a:picLocks noChangeAspect="1"/>
        </xdr:cNvPicPr>
      </xdr:nvPicPr>
      <xdr:blipFill>
        <a:blip xmlns:r="http://schemas.openxmlformats.org/officeDocument/2006/relationships" r:embed="rId1286"/>
        <a:stretch>
          <a:fillRect/>
        </a:stretch>
      </xdr:blipFill>
      <xdr:spPr>
        <a:prstGeom prst="rect">
          <a:avLst/>
        </a:prstGeom>
        <a:ln w="9525">
          <a:solidFill>
            <a:srgbClr val="000000"/>
          </a:solidFill>
          <a:prstDash val="solid"/>
        </a:ln>
      </xdr:spPr>
    </xdr:pic>
    <xdr:clientData/>
  </xdr:twoCellAnchor>
  <xdr:twoCellAnchor>
    <xdr:from>
      <xdr:col>3</xdr:col>
      <xdr:colOff>114300</xdr:colOff>
      <xdr:row>3150</xdr:row>
      <xdr:rowOff>28575</xdr:rowOff>
    </xdr:from>
    <xdr:to>
      <xdr:col>3</xdr:col>
      <xdr:colOff>1552575</xdr:colOff>
      <xdr:row>3154</xdr:row>
      <xdr:rowOff>333375</xdr:rowOff>
    </xdr:to>
    <xdr:pic>
      <xdr:nvPicPr>
        <xdr:cNvPr id="1288" name="Имя " descr="Descr ">
          <a:extLst>
            <a:ext uri="{FF2B5EF4-FFF2-40B4-BE49-F238E27FC236}">
              <a16:creationId xmlns:a16="http://schemas.microsoft.com/office/drawing/2014/main" id="{00000000-0008-0000-0000-000008050000}"/>
            </a:ext>
          </a:extLst>
        </xdr:cNvPr>
        <xdr:cNvPicPr>
          <a:picLocks noChangeAspect="1"/>
        </xdr:cNvPicPr>
      </xdr:nvPicPr>
      <xdr:blipFill>
        <a:blip xmlns:r="http://schemas.openxmlformats.org/officeDocument/2006/relationships" r:embed="rId1287"/>
        <a:stretch>
          <a:fillRect/>
        </a:stretch>
      </xdr:blipFill>
      <xdr:spPr>
        <a:prstGeom prst="rect">
          <a:avLst/>
        </a:prstGeom>
        <a:ln w="9525">
          <a:solidFill>
            <a:srgbClr val="000000"/>
          </a:solidFill>
          <a:prstDash val="solid"/>
        </a:ln>
      </xdr:spPr>
    </xdr:pic>
    <xdr:clientData/>
  </xdr:twoCellAnchor>
  <xdr:twoCellAnchor>
    <xdr:from>
      <xdr:col>3</xdr:col>
      <xdr:colOff>114300</xdr:colOff>
      <xdr:row>3155</xdr:row>
      <xdr:rowOff>28575</xdr:rowOff>
    </xdr:from>
    <xdr:to>
      <xdr:col>3</xdr:col>
      <xdr:colOff>1552575</xdr:colOff>
      <xdr:row>3157</xdr:row>
      <xdr:rowOff>419100</xdr:rowOff>
    </xdr:to>
    <xdr:pic>
      <xdr:nvPicPr>
        <xdr:cNvPr id="1289" name="Имя " descr="Descr ">
          <a:extLst>
            <a:ext uri="{FF2B5EF4-FFF2-40B4-BE49-F238E27FC236}">
              <a16:creationId xmlns:a16="http://schemas.microsoft.com/office/drawing/2014/main" id="{00000000-0008-0000-0000-000009050000}"/>
            </a:ext>
          </a:extLst>
        </xdr:cNvPr>
        <xdr:cNvPicPr>
          <a:picLocks noChangeAspect="1"/>
        </xdr:cNvPicPr>
      </xdr:nvPicPr>
      <xdr:blipFill>
        <a:blip xmlns:r="http://schemas.openxmlformats.org/officeDocument/2006/relationships" r:embed="rId1288"/>
        <a:stretch>
          <a:fillRect/>
        </a:stretch>
      </xdr:blipFill>
      <xdr:spPr>
        <a:prstGeom prst="rect">
          <a:avLst/>
        </a:prstGeom>
        <a:ln w="9525">
          <a:solidFill>
            <a:srgbClr val="000000"/>
          </a:solidFill>
          <a:prstDash val="solid"/>
        </a:ln>
      </xdr:spPr>
    </xdr:pic>
    <xdr:clientData/>
  </xdr:twoCellAnchor>
  <xdr:twoCellAnchor>
    <xdr:from>
      <xdr:col>3</xdr:col>
      <xdr:colOff>114300</xdr:colOff>
      <xdr:row>3158</xdr:row>
      <xdr:rowOff>28575</xdr:rowOff>
    </xdr:from>
    <xdr:to>
      <xdr:col>3</xdr:col>
      <xdr:colOff>1552575</xdr:colOff>
      <xdr:row>3160</xdr:row>
      <xdr:rowOff>419100</xdr:rowOff>
    </xdr:to>
    <xdr:pic>
      <xdr:nvPicPr>
        <xdr:cNvPr id="1290" name="Имя " descr="Descr ">
          <a:extLst>
            <a:ext uri="{FF2B5EF4-FFF2-40B4-BE49-F238E27FC236}">
              <a16:creationId xmlns:a16="http://schemas.microsoft.com/office/drawing/2014/main" id="{00000000-0008-0000-0000-00000A050000}"/>
            </a:ext>
          </a:extLst>
        </xdr:cNvPr>
        <xdr:cNvPicPr>
          <a:picLocks noChangeAspect="1"/>
        </xdr:cNvPicPr>
      </xdr:nvPicPr>
      <xdr:blipFill>
        <a:blip xmlns:r="http://schemas.openxmlformats.org/officeDocument/2006/relationships" r:embed="rId1289"/>
        <a:stretch>
          <a:fillRect/>
        </a:stretch>
      </xdr:blipFill>
      <xdr:spPr>
        <a:prstGeom prst="rect">
          <a:avLst/>
        </a:prstGeom>
        <a:ln w="9525">
          <a:solidFill>
            <a:srgbClr val="000000"/>
          </a:solidFill>
          <a:prstDash val="solid"/>
        </a:ln>
      </xdr:spPr>
    </xdr:pic>
    <xdr:clientData/>
  </xdr:twoCellAnchor>
  <xdr:twoCellAnchor>
    <xdr:from>
      <xdr:col>3</xdr:col>
      <xdr:colOff>114300</xdr:colOff>
      <xdr:row>3161</xdr:row>
      <xdr:rowOff>28575</xdr:rowOff>
    </xdr:from>
    <xdr:to>
      <xdr:col>3</xdr:col>
      <xdr:colOff>1552575</xdr:colOff>
      <xdr:row>3164</xdr:row>
      <xdr:rowOff>209550</xdr:rowOff>
    </xdr:to>
    <xdr:pic>
      <xdr:nvPicPr>
        <xdr:cNvPr id="1291" name="Имя " descr="Descr ">
          <a:extLst>
            <a:ext uri="{FF2B5EF4-FFF2-40B4-BE49-F238E27FC236}">
              <a16:creationId xmlns:a16="http://schemas.microsoft.com/office/drawing/2014/main" id="{00000000-0008-0000-0000-00000B050000}"/>
            </a:ext>
          </a:extLst>
        </xdr:cNvPr>
        <xdr:cNvPicPr>
          <a:picLocks noChangeAspect="1"/>
        </xdr:cNvPicPr>
      </xdr:nvPicPr>
      <xdr:blipFill>
        <a:blip xmlns:r="http://schemas.openxmlformats.org/officeDocument/2006/relationships" r:embed="rId1290"/>
        <a:stretch>
          <a:fillRect/>
        </a:stretch>
      </xdr:blipFill>
      <xdr:spPr>
        <a:prstGeom prst="rect">
          <a:avLst/>
        </a:prstGeom>
        <a:ln w="9525">
          <a:solidFill>
            <a:srgbClr val="000000"/>
          </a:solidFill>
          <a:prstDash val="solid"/>
        </a:ln>
      </xdr:spPr>
    </xdr:pic>
    <xdr:clientData/>
  </xdr:twoCellAnchor>
  <xdr:twoCellAnchor>
    <xdr:from>
      <xdr:col>3</xdr:col>
      <xdr:colOff>114300</xdr:colOff>
      <xdr:row>3165</xdr:row>
      <xdr:rowOff>38100</xdr:rowOff>
    </xdr:from>
    <xdr:to>
      <xdr:col>3</xdr:col>
      <xdr:colOff>1552575</xdr:colOff>
      <xdr:row>3166</xdr:row>
      <xdr:rowOff>638175</xdr:rowOff>
    </xdr:to>
    <xdr:pic>
      <xdr:nvPicPr>
        <xdr:cNvPr id="1292" name="Имя " descr="Descr ">
          <a:extLst>
            <a:ext uri="{FF2B5EF4-FFF2-40B4-BE49-F238E27FC236}">
              <a16:creationId xmlns:a16="http://schemas.microsoft.com/office/drawing/2014/main" id="{00000000-0008-0000-0000-00000C050000}"/>
            </a:ext>
          </a:extLst>
        </xdr:cNvPr>
        <xdr:cNvPicPr>
          <a:picLocks noChangeAspect="1"/>
        </xdr:cNvPicPr>
      </xdr:nvPicPr>
      <xdr:blipFill>
        <a:blip xmlns:r="http://schemas.openxmlformats.org/officeDocument/2006/relationships" r:embed="rId1291"/>
        <a:stretch>
          <a:fillRect/>
        </a:stretch>
      </xdr:blipFill>
      <xdr:spPr>
        <a:prstGeom prst="rect">
          <a:avLst/>
        </a:prstGeom>
        <a:ln w="9525">
          <a:solidFill>
            <a:srgbClr val="000000"/>
          </a:solidFill>
          <a:prstDash val="solid"/>
        </a:ln>
      </xdr:spPr>
    </xdr:pic>
    <xdr:clientData/>
  </xdr:twoCellAnchor>
  <xdr:twoCellAnchor>
    <xdr:from>
      <xdr:col>3</xdr:col>
      <xdr:colOff>114300</xdr:colOff>
      <xdr:row>3167</xdr:row>
      <xdr:rowOff>38100</xdr:rowOff>
    </xdr:from>
    <xdr:to>
      <xdr:col>3</xdr:col>
      <xdr:colOff>1552575</xdr:colOff>
      <xdr:row>3168</xdr:row>
      <xdr:rowOff>638175</xdr:rowOff>
    </xdr:to>
    <xdr:pic>
      <xdr:nvPicPr>
        <xdr:cNvPr id="1293" name="Имя " descr="Descr ">
          <a:extLst>
            <a:ext uri="{FF2B5EF4-FFF2-40B4-BE49-F238E27FC236}">
              <a16:creationId xmlns:a16="http://schemas.microsoft.com/office/drawing/2014/main" id="{00000000-0008-0000-0000-00000D050000}"/>
            </a:ext>
          </a:extLst>
        </xdr:cNvPr>
        <xdr:cNvPicPr>
          <a:picLocks noChangeAspect="1"/>
        </xdr:cNvPicPr>
      </xdr:nvPicPr>
      <xdr:blipFill>
        <a:blip xmlns:r="http://schemas.openxmlformats.org/officeDocument/2006/relationships" r:embed="rId1292"/>
        <a:stretch>
          <a:fillRect/>
        </a:stretch>
      </xdr:blipFill>
      <xdr:spPr>
        <a:prstGeom prst="rect">
          <a:avLst/>
        </a:prstGeom>
        <a:ln w="9525">
          <a:solidFill>
            <a:srgbClr val="000000"/>
          </a:solidFill>
          <a:prstDash val="solid"/>
        </a:ln>
      </xdr:spPr>
    </xdr:pic>
    <xdr:clientData/>
  </xdr:twoCellAnchor>
  <xdr:twoCellAnchor>
    <xdr:from>
      <xdr:col>3</xdr:col>
      <xdr:colOff>114300</xdr:colOff>
      <xdr:row>3169</xdr:row>
      <xdr:rowOff>28575</xdr:rowOff>
    </xdr:from>
    <xdr:to>
      <xdr:col>3</xdr:col>
      <xdr:colOff>1552575</xdr:colOff>
      <xdr:row>3169</xdr:row>
      <xdr:rowOff>1266825</xdr:rowOff>
    </xdr:to>
    <xdr:pic>
      <xdr:nvPicPr>
        <xdr:cNvPr id="1294" name="Имя " descr="Descr ">
          <a:extLst>
            <a:ext uri="{FF2B5EF4-FFF2-40B4-BE49-F238E27FC236}">
              <a16:creationId xmlns:a16="http://schemas.microsoft.com/office/drawing/2014/main" id="{00000000-0008-0000-0000-00000E050000}"/>
            </a:ext>
          </a:extLst>
        </xdr:cNvPr>
        <xdr:cNvPicPr>
          <a:picLocks noChangeAspect="1"/>
        </xdr:cNvPicPr>
      </xdr:nvPicPr>
      <xdr:blipFill>
        <a:blip xmlns:r="http://schemas.openxmlformats.org/officeDocument/2006/relationships" r:embed="rId1293"/>
        <a:stretch>
          <a:fillRect/>
        </a:stretch>
      </xdr:blipFill>
      <xdr:spPr>
        <a:prstGeom prst="rect">
          <a:avLst/>
        </a:prstGeom>
        <a:ln w="9525">
          <a:solidFill>
            <a:srgbClr val="000000"/>
          </a:solidFill>
          <a:prstDash val="solid"/>
        </a:ln>
      </xdr:spPr>
    </xdr:pic>
    <xdr:clientData/>
  </xdr:twoCellAnchor>
  <xdr:twoCellAnchor>
    <xdr:from>
      <xdr:col>3</xdr:col>
      <xdr:colOff>114300</xdr:colOff>
      <xdr:row>3170</xdr:row>
      <xdr:rowOff>28575</xdr:rowOff>
    </xdr:from>
    <xdr:to>
      <xdr:col>3</xdr:col>
      <xdr:colOff>1552575</xdr:colOff>
      <xdr:row>3170</xdr:row>
      <xdr:rowOff>1266825</xdr:rowOff>
    </xdr:to>
    <xdr:pic>
      <xdr:nvPicPr>
        <xdr:cNvPr id="1295" name="Имя " descr="Descr ">
          <a:extLst>
            <a:ext uri="{FF2B5EF4-FFF2-40B4-BE49-F238E27FC236}">
              <a16:creationId xmlns:a16="http://schemas.microsoft.com/office/drawing/2014/main" id="{00000000-0008-0000-0000-00000F050000}"/>
            </a:ext>
          </a:extLst>
        </xdr:cNvPr>
        <xdr:cNvPicPr>
          <a:picLocks noChangeAspect="1"/>
        </xdr:cNvPicPr>
      </xdr:nvPicPr>
      <xdr:blipFill>
        <a:blip xmlns:r="http://schemas.openxmlformats.org/officeDocument/2006/relationships" r:embed="rId1294"/>
        <a:stretch>
          <a:fillRect/>
        </a:stretch>
      </xdr:blipFill>
      <xdr:spPr>
        <a:prstGeom prst="rect">
          <a:avLst/>
        </a:prstGeom>
        <a:ln w="9525">
          <a:solidFill>
            <a:srgbClr val="000000"/>
          </a:solidFill>
          <a:prstDash val="solid"/>
        </a:ln>
      </xdr:spPr>
    </xdr:pic>
    <xdr:clientData/>
  </xdr:twoCellAnchor>
  <xdr:twoCellAnchor>
    <xdr:from>
      <xdr:col>3</xdr:col>
      <xdr:colOff>114300</xdr:colOff>
      <xdr:row>3171</xdr:row>
      <xdr:rowOff>28575</xdr:rowOff>
    </xdr:from>
    <xdr:to>
      <xdr:col>3</xdr:col>
      <xdr:colOff>1552575</xdr:colOff>
      <xdr:row>3171</xdr:row>
      <xdr:rowOff>1266825</xdr:rowOff>
    </xdr:to>
    <xdr:pic>
      <xdr:nvPicPr>
        <xdr:cNvPr id="1296" name="Имя " descr="Descr ">
          <a:extLst>
            <a:ext uri="{FF2B5EF4-FFF2-40B4-BE49-F238E27FC236}">
              <a16:creationId xmlns:a16="http://schemas.microsoft.com/office/drawing/2014/main" id="{00000000-0008-0000-0000-000010050000}"/>
            </a:ext>
          </a:extLst>
        </xdr:cNvPr>
        <xdr:cNvPicPr>
          <a:picLocks noChangeAspect="1"/>
        </xdr:cNvPicPr>
      </xdr:nvPicPr>
      <xdr:blipFill>
        <a:blip xmlns:r="http://schemas.openxmlformats.org/officeDocument/2006/relationships" r:embed="rId1295"/>
        <a:stretch>
          <a:fillRect/>
        </a:stretch>
      </xdr:blipFill>
      <xdr:spPr>
        <a:prstGeom prst="rect">
          <a:avLst/>
        </a:prstGeom>
        <a:ln w="9525">
          <a:solidFill>
            <a:srgbClr val="000000"/>
          </a:solidFill>
          <a:prstDash val="solid"/>
        </a:ln>
      </xdr:spPr>
    </xdr:pic>
    <xdr:clientData/>
  </xdr:twoCellAnchor>
  <xdr:twoCellAnchor>
    <xdr:from>
      <xdr:col>3</xdr:col>
      <xdr:colOff>114300</xdr:colOff>
      <xdr:row>3172</xdr:row>
      <xdr:rowOff>28575</xdr:rowOff>
    </xdr:from>
    <xdr:to>
      <xdr:col>3</xdr:col>
      <xdr:colOff>1552575</xdr:colOff>
      <xdr:row>3172</xdr:row>
      <xdr:rowOff>1266825</xdr:rowOff>
    </xdr:to>
    <xdr:pic>
      <xdr:nvPicPr>
        <xdr:cNvPr id="1297" name="Имя " descr="Descr ">
          <a:extLst>
            <a:ext uri="{FF2B5EF4-FFF2-40B4-BE49-F238E27FC236}">
              <a16:creationId xmlns:a16="http://schemas.microsoft.com/office/drawing/2014/main" id="{00000000-0008-0000-0000-000011050000}"/>
            </a:ext>
          </a:extLst>
        </xdr:cNvPr>
        <xdr:cNvPicPr>
          <a:picLocks noChangeAspect="1"/>
        </xdr:cNvPicPr>
      </xdr:nvPicPr>
      <xdr:blipFill>
        <a:blip xmlns:r="http://schemas.openxmlformats.org/officeDocument/2006/relationships" r:embed="rId1296"/>
        <a:stretch>
          <a:fillRect/>
        </a:stretch>
      </xdr:blipFill>
      <xdr:spPr>
        <a:prstGeom prst="rect">
          <a:avLst/>
        </a:prstGeom>
        <a:ln w="9525">
          <a:solidFill>
            <a:srgbClr val="000000"/>
          </a:solidFill>
          <a:prstDash val="solid"/>
        </a:ln>
      </xdr:spPr>
    </xdr:pic>
    <xdr:clientData/>
  </xdr:twoCellAnchor>
  <xdr:twoCellAnchor>
    <xdr:from>
      <xdr:col>3</xdr:col>
      <xdr:colOff>114300</xdr:colOff>
      <xdr:row>3173</xdr:row>
      <xdr:rowOff>28575</xdr:rowOff>
    </xdr:from>
    <xdr:to>
      <xdr:col>3</xdr:col>
      <xdr:colOff>1552575</xdr:colOff>
      <xdr:row>3173</xdr:row>
      <xdr:rowOff>1266825</xdr:rowOff>
    </xdr:to>
    <xdr:pic>
      <xdr:nvPicPr>
        <xdr:cNvPr id="1298" name="Имя " descr="Descr ">
          <a:extLst>
            <a:ext uri="{FF2B5EF4-FFF2-40B4-BE49-F238E27FC236}">
              <a16:creationId xmlns:a16="http://schemas.microsoft.com/office/drawing/2014/main" id="{00000000-0008-0000-0000-000012050000}"/>
            </a:ext>
          </a:extLst>
        </xdr:cNvPr>
        <xdr:cNvPicPr>
          <a:picLocks noChangeAspect="1"/>
        </xdr:cNvPicPr>
      </xdr:nvPicPr>
      <xdr:blipFill>
        <a:blip xmlns:r="http://schemas.openxmlformats.org/officeDocument/2006/relationships" r:embed="rId1297"/>
        <a:stretch>
          <a:fillRect/>
        </a:stretch>
      </xdr:blipFill>
      <xdr:spPr>
        <a:prstGeom prst="rect">
          <a:avLst/>
        </a:prstGeom>
        <a:ln w="9525">
          <a:solidFill>
            <a:srgbClr val="000000"/>
          </a:solidFill>
          <a:prstDash val="solid"/>
        </a:ln>
      </xdr:spPr>
    </xdr:pic>
    <xdr:clientData/>
  </xdr:twoCellAnchor>
  <xdr:twoCellAnchor>
    <xdr:from>
      <xdr:col>3</xdr:col>
      <xdr:colOff>114300</xdr:colOff>
      <xdr:row>3174</xdr:row>
      <xdr:rowOff>28575</xdr:rowOff>
    </xdr:from>
    <xdr:to>
      <xdr:col>3</xdr:col>
      <xdr:colOff>1552575</xdr:colOff>
      <xdr:row>3174</xdr:row>
      <xdr:rowOff>1266825</xdr:rowOff>
    </xdr:to>
    <xdr:pic>
      <xdr:nvPicPr>
        <xdr:cNvPr id="1299" name="Имя " descr="Descr ">
          <a:extLst>
            <a:ext uri="{FF2B5EF4-FFF2-40B4-BE49-F238E27FC236}">
              <a16:creationId xmlns:a16="http://schemas.microsoft.com/office/drawing/2014/main" id="{00000000-0008-0000-0000-000013050000}"/>
            </a:ext>
          </a:extLst>
        </xdr:cNvPr>
        <xdr:cNvPicPr>
          <a:picLocks noChangeAspect="1"/>
        </xdr:cNvPicPr>
      </xdr:nvPicPr>
      <xdr:blipFill>
        <a:blip xmlns:r="http://schemas.openxmlformats.org/officeDocument/2006/relationships" r:embed="rId1298"/>
        <a:stretch>
          <a:fillRect/>
        </a:stretch>
      </xdr:blipFill>
      <xdr:spPr>
        <a:prstGeom prst="rect">
          <a:avLst/>
        </a:prstGeom>
        <a:ln w="9525">
          <a:solidFill>
            <a:srgbClr val="000000"/>
          </a:solidFill>
          <a:prstDash val="solid"/>
        </a:ln>
      </xdr:spPr>
    </xdr:pic>
    <xdr:clientData/>
  </xdr:twoCellAnchor>
  <xdr:twoCellAnchor>
    <xdr:from>
      <xdr:col>3</xdr:col>
      <xdr:colOff>114300</xdr:colOff>
      <xdr:row>3175</xdr:row>
      <xdr:rowOff>38100</xdr:rowOff>
    </xdr:from>
    <xdr:to>
      <xdr:col>3</xdr:col>
      <xdr:colOff>1552575</xdr:colOff>
      <xdr:row>3176</xdr:row>
      <xdr:rowOff>638175</xdr:rowOff>
    </xdr:to>
    <xdr:pic>
      <xdr:nvPicPr>
        <xdr:cNvPr id="1300" name="Имя " descr="Descr ">
          <a:extLst>
            <a:ext uri="{FF2B5EF4-FFF2-40B4-BE49-F238E27FC236}">
              <a16:creationId xmlns:a16="http://schemas.microsoft.com/office/drawing/2014/main" id="{00000000-0008-0000-0000-000014050000}"/>
            </a:ext>
          </a:extLst>
        </xdr:cNvPr>
        <xdr:cNvPicPr>
          <a:picLocks noChangeAspect="1"/>
        </xdr:cNvPicPr>
      </xdr:nvPicPr>
      <xdr:blipFill>
        <a:blip xmlns:r="http://schemas.openxmlformats.org/officeDocument/2006/relationships" r:embed="rId1299"/>
        <a:stretch>
          <a:fillRect/>
        </a:stretch>
      </xdr:blipFill>
      <xdr:spPr>
        <a:prstGeom prst="rect">
          <a:avLst/>
        </a:prstGeom>
        <a:ln w="9525">
          <a:solidFill>
            <a:srgbClr val="000000"/>
          </a:solidFill>
          <a:prstDash val="solid"/>
        </a:ln>
      </xdr:spPr>
    </xdr:pic>
    <xdr:clientData/>
  </xdr:twoCellAnchor>
  <xdr:twoCellAnchor>
    <xdr:from>
      <xdr:col>3</xdr:col>
      <xdr:colOff>114300</xdr:colOff>
      <xdr:row>3177</xdr:row>
      <xdr:rowOff>28575</xdr:rowOff>
    </xdr:from>
    <xdr:to>
      <xdr:col>3</xdr:col>
      <xdr:colOff>1552575</xdr:colOff>
      <xdr:row>3181</xdr:row>
      <xdr:rowOff>333375</xdr:rowOff>
    </xdr:to>
    <xdr:pic>
      <xdr:nvPicPr>
        <xdr:cNvPr id="1301" name="Имя " descr="Descr ">
          <a:extLst>
            <a:ext uri="{FF2B5EF4-FFF2-40B4-BE49-F238E27FC236}">
              <a16:creationId xmlns:a16="http://schemas.microsoft.com/office/drawing/2014/main" id="{00000000-0008-0000-0000-000015050000}"/>
            </a:ext>
          </a:extLst>
        </xdr:cNvPr>
        <xdr:cNvPicPr>
          <a:picLocks noChangeAspect="1"/>
        </xdr:cNvPicPr>
      </xdr:nvPicPr>
      <xdr:blipFill>
        <a:blip xmlns:r="http://schemas.openxmlformats.org/officeDocument/2006/relationships" r:embed="rId1300"/>
        <a:stretch>
          <a:fillRect/>
        </a:stretch>
      </xdr:blipFill>
      <xdr:spPr>
        <a:prstGeom prst="rect">
          <a:avLst/>
        </a:prstGeom>
        <a:ln w="9525">
          <a:solidFill>
            <a:srgbClr val="000000"/>
          </a:solidFill>
          <a:prstDash val="solid"/>
        </a:ln>
      </xdr:spPr>
    </xdr:pic>
    <xdr:clientData/>
  </xdr:twoCellAnchor>
  <xdr:twoCellAnchor>
    <xdr:from>
      <xdr:col>3</xdr:col>
      <xdr:colOff>114300</xdr:colOff>
      <xdr:row>3182</xdr:row>
      <xdr:rowOff>28575</xdr:rowOff>
    </xdr:from>
    <xdr:to>
      <xdr:col>3</xdr:col>
      <xdr:colOff>1552575</xdr:colOff>
      <xdr:row>3184</xdr:row>
      <xdr:rowOff>419100</xdr:rowOff>
    </xdr:to>
    <xdr:pic>
      <xdr:nvPicPr>
        <xdr:cNvPr id="1302" name="Имя " descr="Descr ">
          <a:extLst>
            <a:ext uri="{FF2B5EF4-FFF2-40B4-BE49-F238E27FC236}">
              <a16:creationId xmlns:a16="http://schemas.microsoft.com/office/drawing/2014/main" id="{00000000-0008-0000-0000-000016050000}"/>
            </a:ext>
          </a:extLst>
        </xdr:cNvPr>
        <xdr:cNvPicPr>
          <a:picLocks noChangeAspect="1"/>
        </xdr:cNvPicPr>
      </xdr:nvPicPr>
      <xdr:blipFill>
        <a:blip xmlns:r="http://schemas.openxmlformats.org/officeDocument/2006/relationships" r:embed="rId1301"/>
        <a:stretch>
          <a:fillRect/>
        </a:stretch>
      </xdr:blipFill>
      <xdr:spPr>
        <a:prstGeom prst="rect">
          <a:avLst/>
        </a:prstGeom>
        <a:ln w="9525">
          <a:solidFill>
            <a:srgbClr val="000000"/>
          </a:solidFill>
          <a:prstDash val="solid"/>
        </a:ln>
      </xdr:spPr>
    </xdr:pic>
    <xdr:clientData/>
  </xdr:twoCellAnchor>
  <xdr:twoCellAnchor>
    <xdr:from>
      <xdr:col>3</xdr:col>
      <xdr:colOff>114300</xdr:colOff>
      <xdr:row>3185</xdr:row>
      <xdr:rowOff>28575</xdr:rowOff>
    </xdr:from>
    <xdr:to>
      <xdr:col>3</xdr:col>
      <xdr:colOff>1552575</xdr:colOff>
      <xdr:row>3185</xdr:row>
      <xdr:rowOff>1266825</xdr:rowOff>
    </xdr:to>
    <xdr:pic>
      <xdr:nvPicPr>
        <xdr:cNvPr id="1303" name="Имя " descr="Descr ">
          <a:extLst>
            <a:ext uri="{FF2B5EF4-FFF2-40B4-BE49-F238E27FC236}">
              <a16:creationId xmlns:a16="http://schemas.microsoft.com/office/drawing/2014/main" id="{00000000-0008-0000-0000-000017050000}"/>
            </a:ext>
          </a:extLst>
        </xdr:cNvPr>
        <xdr:cNvPicPr>
          <a:picLocks noChangeAspect="1"/>
        </xdr:cNvPicPr>
      </xdr:nvPicPr>
      <xdr:blipFill>
        <a:blip xmlns:r="http://schemas.openxmlformats.org/officeDocument/2006/relationships" r:embed="rId1302"/>
        <a:stretch>
          <a:fillRect/>
        </a:stretch>
      </xdr:blipFill>
      <xdr:spPr>
        <a:prstGeom prst="rect">
          <a:avLst/>
        </a:prstGeom>
        <a:ln w="9525">
          <a:solidFill>
            <a:srgbClr val="000000"/>
          </a:solidFill>
          <a:prstDash val="solid"/>
        </a:ln>
      </xdr:spPr>
    </xdr:pic>
    <xdr:clientData/>
  </xdr:twoCellAnchor>
  <xdr:twoCellAnchor>
    <xdr:from>
      <xdr:col>3</xdr:col>
      <xdr:colOff>114300</xdr:colOff>
      <xdr:row>3186</xdr:row>
      <xdr:rowOff>28575</xdr:rowOff>
    </xdr:from>
    <xdr:to>
      <xdr:col>3</xdr:col>
      <xdr:colOff>1552575</xdr:colOff>
      <xdr:row>3186</xdr:row>
      <xdr:rowOff>1266825</xdr:rowOff>
    </xdr:to>
    <xdr:pic>
      <xdr:nvPicPr>
        <xdr:cNvPr id="1304" name="Имя " descr="Descr ">
          <a:extLst>
            <a:ext uri="{FF2B5EF4-FFF2-40B4-BE49-F238E27FC236}">
              <a16:creationId xmlns:a16="http://schemas.microsoft.com/office/drawing/2014/main" id="{00000000-0008-0000-0000-000018050000}"/>
            </a:ext>
          </a:extLst>
        </xdr:cNvPr>
        <xdr:cNvPicPr>
          <a:picLocks noChangeAspect="1"/>
        </xdr:cNvPicPr>
      </xdr:nvPicPr>
      <xdr:blipFill>
        <a:blip xmlns:r="http://schemas.openxmlformats.org/officeDocument/2006/relationships" r:embed="rId1303"/>
        <a:stretch>
          <a:fillRect/>
        </a:stretch>
      </xdr:blipFill>
      <xdr:spPr>
        <a:prstGeom prst="rect">
          <a:avLst/>
        </a:prstGeom>
        <a:ln w="9525">
          <a:solidFill>
            <a:srgbClr val="000000"/>
          </a:solidFill>
          <a:prstDash val="solid"/>
        </a:ln>
      </xdr:spPr>
    </xdr:pic>
    <xdr:clientData/>
  </xdr:twoCellAnchor>
  <xdr:twoCellAnchor>
    <xdr:from>
      <xdr:col>3</xdr:col>
      <xdr:colOff>114300</xdr:colOff>
      <xdr:row>3187</xdr:row>
      <xdr:rowOff>28575</xdr:rowOff>
    </xdr:from>
    <xdr:to>
      <xdr:col>3</xdr:col>
      <xdr:colOff>1552575</xdr:colOff>
      <xdr:row>3190</xdr:row>
      <xdr:rowOff>209550</xdr:rowOff>
    </xdr:to>
    <xdr:pic>
      <xdr:nvPicPr>
        <xdr:cNvPr id="1305" name="Имя " descr="Descr ">
          <a:extLst>
            <a:ext uri="{FF2B5EF4-FFF2-40B4-BE49-F238E27FC236}">
              <a16:creationId xmlns:a16="http://schemas.microsoft.com/office/drawing/2014/main" id="{00000000-0008-0000-0000-000019050000}"/>
            </a:ext>
          </a:extLst>
        </xdr:cNvPr>
        <xdr:cNvPicPr>
          <a:picLocks noChangeAspect="1"/>
        </xdr:cNvPicPr>
      </xdr:nvPicPr>
      <xdr:blipFill>
        <a:blip xmlns:r="http://schemas.openxmlformats.org/officeDocument/2006/relationships" r:embed="rId1304"/>
        <a:stretch>
          <a:fillRect/>
        </a:stretch>
      </xdr:blipFill>
      <xdr:spPr>
        <a:prstGeom prst="rect">
          <a:avLst/>
        </a:prstGeom>
        <a:ln w="9525">
          <a:solidFill>
            <a:srgbClr val="000000"/>
          </a:solidFill>
          <a:prstDash val="solid"/>
        </a:ln>
      </xdr:spPr>
    </xdr:pic>
    <xdr:clientData/>
  </xdr:twoCellAnchor>
  <xdr:twoCellAnchor>
    <xdr:from>
      <xdr:col>3</xdr:col>
      <xdr:colOff>114300</xdr:colOff>
      <xdr:row>3191</xdr:row>
      <xdr:rowOff>28575</xdr:rowOff>
    </xdr:from>
    <xdr:to>
      <xdr:col>3</xdr:col>
      <xdr:colOff>1552575</xdr:colOff>
      <xdr:row>3193</xdr:row>
      <xdr:rowOff>419100</xdr:rowOff>
    </xdr:to>
    <xdr:pic>
      <xdr:nvPicPr>
        <xdr:cNvPr id="1306" name="Имя " descr="Descr ">
          <a:extLst>
            <a:ext uri="{FF2B5EF4-FFF2-40B4-BE49-F238E27FC236}">
              <a16:creationId xmlns:a16="http://schemas.microsoft.com/office/drawing/2014/main" id="{00000000-0008-0000-0000-00001A050000}"/>
            </a:ext>
          </a:extLst>
        </xdr:cNvPr>
        <xdr:cNvPicPr>
          <a:picLocks noChangeAspect="1"/>
        </xdr:cNvPicPr>
      </xdr:nvPicPr>
      <xdr:blipFill>
        <a:blip xmlns:r="http://schemas.openxmlformats.org/officeDocument/2006/relationships" r:embed="rId1305"/>
        <a:stretch>
          <a:fillRect/>
        </a:stretch>
      </xdr:blipFill>
      <xdr:spPr>
        <a:prstGeom prst="rect">
          <a:avLst/>
        </a:prstGeom>
        <a:ln w="9525">
          <a:solidFill>
            <a:srgbClr val="000000"/>
          </a:solidFill>
          <a:prstDash val="solid"/>
        </a:ln>
      </xdr:spPr>
    </xdr:pic>
    <xdr:clientData/>
  </xdr:twoCellAnchor>
  <xdr:twoCellAnchor>
    <xdr:from>
      <xdr:col>3</xdr:col>
      <xdr:colOff>114300</xdr:colOff>
      <xdr:row>3194</xdr:row>
      <xdr:rowOff>38100</xdr:rowOff>
    </xdr:from>
    <xdr:to>
      <xdr:col>3</xdr:col>
      <xdr:colOff>1552575</xdr:colOff>
      <xdr:row>3195</xdr:row>
      <xdr:rowOff>638175</xdr:rowOff>
    </xdr:to>
    <xdr:pic>
      <xdr:nvPicPr>
        <xdr:cNvPr id="1307" name="Имя " descr="Descr ">
          <a:extLst>
            <a:ext uri="{FF2B5EF4-FFF2-40B4-BE49-F238E27FC236}">
              <a16:creationId xmlns:a16="http://schemas.microsoft.com/office/drawing/2014/main" id="{00000000-0008-0000-0000-00001B050000}"/>
            </a:ext>
          </a:extLst>
        </xdr:cNvPr>
        <xdr:cNvPicPr>
          <a:picLocks noChangeAspect="1"/>
        </xdr:cNvPicPr>
      </xdr:nvPicPr>
      <xdr:blipFill>
        <a:blip xmlns:r="http://schemas.openxmlformats.org/officeDocument/2006/relationships" r:embed="rId1306"/>
        <a:stretch>
          <a:fillRect/>
        </a:stretch>
      </xdr:blipFill>
      <xdr:spPr>
        <a:prstGeom prst="rect">
          <a:avLst/>
        </a:prstGeom>
        <a:ln w="9525">
          <a:solidFill>
            <a:srgbClr val="000000"/>
          </a:solidFill>
          <a:prstDash val="solid"/>
        </a:ln>
      </xdr:spPr>
    </xdr:pic>
    <xdr:clientData/>
  </xdr:twoCellAnchor>
  <xdr:twoCellAnchor>
    <xdr:from>
      <xdr:col>3</xdr:col>
      <xdr:colOff>114300</xdr:colOff>
      <xdr:row>3196</xdr:row>
      <xdr:rowOff>28575</xdr:rowOff>
    </xdr:from>
    <xdr:to>
      <xdr:col>3</xdr:col>
      <xdr:colOff>1552575</xdr:colOff>
      <xdr:row>3196</xdr:row>
      <xdr:rowOff>1266825</xdr:rowOff>
    </xdr:to>
    <xdr:pic>
      <xdr:nvPicPr>
        <xdr:cNvPr id="1308" name="Имя " descr="Descr ">
          <a:extLst>
            <a:ext uri="{FF2B5EF4-FFF2-40B4-BE49-F238E27FC236}">
              <a16:creationId xmlns:a16="http://schemas.microsoft.com/office/drawing/2014/main" id="{00000000-0008-0000-0000-00001C050000}"/>
            </a:ext>
          </a:extLst>
        </xdr:cNvPr>
        <xdr:cNvPicPr>
          <a:picLocks noChangeAspect="1"/>
        </xdr:cNvPicPr>
      </xdr:nvPicPr>
      <xdr:blipFill>
        <a:blip xmlns:r="http://schemas.openxmlformats.org/officeDocument/2006/relationships" r:embed="rId1307"/>
        <a:stretch>
          <a:fillRect/>
        </a:stretch>
      </xdr:blipFill>
      <xdr:spPr>
        <a:prstGeom prst="rect">
          <a:avLst/>
        </a:prstGeom>
        <a:ln w="9525">
          <a:solidFill>
            <a:srgbClr val="000000"/>
          </a:solidFill>
          <a:prstDash val="solid"/>
        </a:ln>
      </xdr:spPr>
    </xdr:pic>
    <xdr:clientData/>
  </xdr:twoCellAnchor>
  <xdr:twoCellAnchor>
    <xdr:from>
      <xdr:col>3</xdr:col>
      <xdr:colOff>114300</xdr:colOff>
      <xdr:row>3197</xdr:row>
      <xdr:rowOff>38100</xdr:rowOff>
    </xdr:from>
    <xdr:to>
      <xdr:col>3</xdr:col>
      <xdr:colOff>1552575</xdr:colOff>
      <xdr:row>3198</xdr:row>
      <xdr:rowOff>638175</xdr:rowOff>
    </xdr:to>
    <xdr:pic>
      <xdr:nvPicPr>
        <xdr:cNvPr id="1309" name="Имя " descr="Descr ">
          <a:extLst>
            <a:ext uri="{FF2B5EF4-FFF2-40B4-BE49-F238E27FC236}">
              <a16:creationId xmlns:a16="http://schemas.microsoft.com/office/drawing/2014/main" id="{00000000-0008-0000-0000-00001D050000}"/>
            </a:ext>
          </a:extLst>
        </xdr:cNvPr>
        <xdr:cNvPicPr>
          <a:picLocks noChangeAspect="1"/>
        </xdr:cNvPicPr>
      </xdr:nvPicPr>
      <xdr:blipFill>
        <a:blip xmlns:r="http://schemas.openxmlformats.org/officeDocument/2006/relationships" r:embed="rId1308"/>
        <a:stretch>
          <a:fillRect/>
        </a:stretch>
      </xdr:blipFill>
      <xdr:spPr>
        <a:prstGeom prst="rect">
          <a:avLst/>
        </a:prstGeom>
        <a:ln w="9525">
          <a:solidFill>
            <a:srgbClr val="000000"/>
          </a:solidFill>
          <a:prstDash val="solid"/>
        </a:ln>
      </xdr:spPr>
    </xdr:pic>
    <xdr:clientData/>
  </xdr:twoCellAnchor>
  <xdr:twoCellAnchor>
    <xdr:from>
      <xdr:col>3</xdr:col>
      <xdr:colOff>114300</xdr:colOff>
      <xdr:row>3199</xdr:row>
      <xdr:rowOff>28575</xdr:rowOff>
    </xdr:from>
    <xdr:to>
      <xdr:col>3</xdr:col>
      <xdr:colOff>1552575</xdr:colOff>
      <xdr:row>3199</xdr:row>
      <xdr:rowOff>1266825</xdr:rowOff>
    </xdr:to>
    <xdr:pic>
      <xdr:nvPicPr>
        <xdr:cNvPr id="1310" name="Имя " descr="Descr ">
          <a:extLst>
            <a:ext uri="{FF2B5EF4-FFF2-40B4-BE49-F238E27FC236}">
              <a16:creationId xmlns:a16="http://schemas.microsoft.com/office/drawing/2014/main" id="{00000000-0008-0000-0000-00001E050000}"/>
            </a:ext>
          </a:extLst>
        </xdr:cNvPr>
        <xdr:cNvPicPr>
          <a:picLocks noChangeAspect="1"/>
        </xdr:cNvPicPr>
      </xdr:nvPicPr>
      <xdr:blipFill>
        <a:blip xmlns:r="http://schemas.openxmlformats.org/officeDocument/2006/relationships" r:embed="rId1309"/>
        <a:stretch>
          <a:fillRect/>
        </a:stretch>
      </xdr:blipFill>
      <xdr:spPr>
        <a:prstGeom prst="rect">
          <a:avLst/>
        </a:prstGeom>
        <a:ln w="9525">
          <a:solidFill>
            <a:srgbClr val="000000"/>
          </a:solidFill>
          <a:prstDash val="solid"/>
        </a:ln>
      </xdr:spPr>
    </xdr:pic>
    <xdr:clientData/>
  </xdr:twoCellAnchor>
  <xdr:twoCellAnchor>
    <xdr:from>
      <xdr:col>3</xdr:col>
      <xdr:colOff>114300</xdr:colOff>
      <xdr:row>3200</xdr:row>
      <xdr:rowOff>28575</xdr:rowOff>
    </xdr:from>
    <xdr:to>
      <xdr:col>3</xdr:col>
      <xdr:colOff>1552575</xdr:colOff>
      <xdr:row>3204</xdr:row>
      <xdr:rowOff>333375</xdr:rowOff>
    </xdr:to>
    <xdr:pic>
      <xdr:nvPicPr>
        <xdr:cNvPr id="1311" name="Имя " descr="Descr ">
          <a:extLst>
            <a:ext uri="{FF2B5EF4-FFF2-40B4-BE49-F238E27FC236}">
              <a16:creationId xmlns:a16="http://schemas.microsoft.com/office/drawing/2014/main" id="{00000000-0008-0000-0000-00001F050000}"/>
            </a:ext>
          </a:extLst>
        </xdr:cNvPr>
        <xdr:cNvPicPr>
          <a:picLocks noChangeAspect="1"/>
        </xdr:cNvPicPr>
      </xdr:nvPicPr>
      <xdr:blipFill>
        <a:blip xmlns:r="http://schemas.openxmlformats.org/officeDocument/2006/relationships" r:embed="rId1310"/>
        <a:stretch>
          <a:fillRect/>
        </a:stretch>
      </xdr:blipFill>
      <xdr:spPr>
        <a:prstGeom prst="rect">
          <a:avLst/>
        </a:prstGeom>
        <a:ln w="9525">
          <a:solidFill>
            <a:srgbClr val="000000"/>
          </a:solidFill>
          <a:prstDash val="solid"/>
        </a:ln>
      </xdr:spPr>
    </xdr:pic>
    <xdr:clientData/>
  </xdr:twoCellAnchor>
  <xdr:twoCellAnchor>
    <xdr:from>
      <xdr:col>3</xdr:col>
      <xdr:colOff>114300</xdr:colOff>
      <xdr:row>3205</xdr:row>
      <xdr:rowOff>28575</xdr:rowOff>
    </xdr:from>
    <xdr:to>
      <xdr:col>3</xdr:col>
      <xdr:colOff>1552575</xdr:colOff>
      <xdr:row>3209</xdr:row>
      <xdr:rowOff>333375</xdr:rowOff>
    </xdr:to>
    <xdr:pic>
      <xdr:nvPicPr>
        <xdr:cNvPr id="1312" name="Имя " descr="Descr ">
          <a:extLst>
            <a:ext uri="{FF2B5EF4-FFF2-40B4-BE49-F238E27FC236}">
              <a16:creationId xmlns:a16="http://schemas.microsoft.com/office/drawing/2014/main" id="{00000000-0008-0000-0000-000020050000}"/>
            </a:ext>
          </a:extLst>
        </xdr:cNvPr>
        <xdr:cNvPicPr>
          <a:picLocks noChangeAspect="1"/>
        </xdr:cNvPicPr>
      </xdr:nvPicPr>
      <xdr:blipFill>
        <a:blip xmlns:r="http://schemas.openxmlformats.org/officeDocument/2006/relationships" r:embed="rId1311"/>
        <a:stretch>
          <a:fillRect/>
        </a:stretch>
      </xdr:blipFill>
      <xdr:spPr>
        <a:prstGeom prst="rect">
          <a:avLst/>
        </a:prstGeom>
        <a:ln w="9525">
          <a:solidFill>
            <a:srgbClr val="000000"/>
          </a:solidFill>
          <a:prstDash val="solid"/>
        </a:ln>
      </xdr:spPr>
    </xdr:pic>
    <xdr:clientData/>
  </xdr:twoCellAnchor>
  <xdr:twoCellAnchor>
    <xdr:from>
      <xdr:col>3</xdr:col>
      <xdr:colOff>114300</xdr:colOff>
      <xdr:row>3210</xdr:row>
      <xdr:rowOff>38100</xdr:rowOff>
    </xdr:from>
    <xdr:to>
      <xdr:col>3</xdr:col>
      <xdr:colOff>1552575</xdr:colOff>
      <xdr:row>3211</xdr:row>
      <xdr:rowOff>638175</xdr:rowOff>
    </xdr:to>
    <xdr:pic>
      <xdr:nvPicPr>
        <xdr:cNvPr id="1313" name="Имя " descr="Descr ">
          <a:extLst>
            <a:ext uri="{FF2B5EF4-FFF2-40B4-BE49-F238E27FC236}">
              <a16:creationId xmlns:a16="http://schemas.microsoft.com/office/drawing/2014/main" id="{00000000-0008-0000-0000-000021050000}"/>
            </a:ext>
          </a:extLst>
        </xdr:cNvPr>
        <xdr:cNvPicPr>
          <a:picLocks noChangeAspect="1"/>
        </xdr:cNvPicPr>
      </xdr:nvPicPr>
      <xdr:blipFill>
        <a:blip xmlns:r="http://schemas.openxmlformats.org/officeDocument/2006/relationships" r:embed="rId1312"/>
        <a:stretch>
          <a:fillRect/>
        </a:stretch>
      </xdr:blipFill>
      <xdr:spPr>
        <a:prstGeom prst="rect">
          <a:avLst/>
        </a:prstGeom>
        <a:ln w="9525">
          <a:solidFill>
            <a:srgbClr val="000000"/>
          </a:solidFill>
          <a:prstDash val="solid"/>
        </a:ln>
      </xdr:spPr>
    </xdr:pic>
    <xdr:clientData/>
  </xdr:twoCellAnchor>
  <xdr:twoCellAnchor>
    <xdr:from>
      <xdr:col>3</xdr:col>
      <xdr:colOff>114300</xdr:colOff>
      <xdr:row>3212</xdr:row>
      <xdr:rowOff>38100</xdr:rowOff>
    </xdr:from>
    <xdr:to>
      <xdr:col>3</xdr:col>
      <xdr:colOff>1552575</xdr:colOff>
      <xdr:row>3213</xdr:row>
      <xdr:rowOff>638175</xdr:rowOff>
    </xdr:to>
    <xdr:pic>
      <xdr:nvPicPr>
        <xdr:cNvPr id="1314" name="Имя " descr="Descr ">
          <a:extLst>
            <a:ext uri="{FF2B5EF4-FFF2-40B4-BE49-F238E27FC236}">
              <a16:creationId xmlns:a16="http://schemas.microsoft.com/office/drawing/2014/main" id="{00000000-0008-0000-0000-000022050000}"/>
            </a:ext>
          </a:extLst>
        </xdr:cNvPr>
        <xdr:cNvPicPr>
          <a:picLocks noChangeAspect="1"/>
        </xdr:cNvPicPr>
      </xdr:nvPicPr>
      <xdr:blipFill>
        <a:blip xmlns:r="http://schemas.openxmlformats.org/officeDocument/2006/relationships" r:embed="rId1313"/>
        <a:stretch>
          <a:fillRect/>
        </a:stretch>
      </xdr:blipFill>
      <xdr:spPr>
        <a:prstGeom prst="rect">
          <a:avLst/>
        </a:prstGeom>
        <a:ln w="9525">
          <a:solidFill>
            <a:srgbClr val="000000"/>
          </a:solidFill>
          <a:prstDash val="solid"/>
        </a:ln>
      </xdr:spPr>
    </xdr:pic>
    <xdr:clientData/>
  </xdr:twoCellAnchor>
  <xdr:twoCellAnchor>
    <xdr:from>
      <xdr:col>3</xdr:col>
      <xdr:colOff>114300</xdr:colOff>
      <xdr:row>3214</xdr:row>
      <xdr:rowOff>28575</xdr:rowOff>
    </xdr:from>
    <xdr:to>
      <xdr:col>3</xdr:col>
      <xdr:colOff>1552575</xdr:colOff>
      <xdr:row>3214</xdr:row>
      <xdr:rowOff>1266825</xdr:rowOff>
    </xdr:to>
    <xdr:pic>
      <xdr:nvPicPr>
        <xdr:cNvPr id="1315" name="Имя " descr="Descr ">
          <a:extLst>
            <a:ext uri="{FF2B5EF4-FFF2-40B4-BE49-F238E27FC236}">
              <a16:creationId xmlns:a16="http://schemas.microsoft.com/office/drawing/2014/main" id="{00000000-0008-0000-0000-000023050000}"/>
            </a:ext>
          </a:extLst>
        </xdr:cNvPr>
        <xdr:cNvPicPr>
          <a:picLocks noChangeAspect="1"/>
        </xdr:cNvPicPr>
      </xdr:nvPicPr>
      <xdr:blipFill>
        <a:blip xmlns:r="http://schemas.openxmlformats.org/officeDocument/2006/relationships" r:embed="rId1314"/>
        <a:stretch>
          <a:fillRect/>
        </a:stretch>
      </xdr:blipFill>
      <xdr:spPr>
        <a:prstGeom prst="rect">
          <a:avLst/>
        </a:prstGeom>
        <a:ln w="9525">
          <a:solidFill>
            <a:srgbClr val="000000"/>
          </a:solidFill>
          <a:prstDash val="solid"/>
        </a:ln>
      </xdr:spPr>
    </xdr:pic>
    <xdr:clientData/>
  </xdr:twoCellAnchor>
  <xdr:twoCellAnchor>
    <xdr:from>
      <xdr:col>3</xdr:col>
      <xdr:colOff>114300</xdr:colOff>
      <xdr:row>3215</xdr:row>
      <xdr:rowOff>28575</xdr:rowOff>
    </xdr:from>
    <xdr:to>
      <xdr:col>3</xdr:col>
      <xdr:colOff>1552575</xdr:colOff>
      <xdr:row>3215</xdr:row>
      <xdr:rowOff>1266825</xdr:rowOff>
    </xdr:to>
    <xdr:pic>
      <xdr:nvPicPr>
        <xdr:cNvPr id="1316" name="Имя " descr="Descr ">
          <a:extLst>
            <a:ext uri="{FF2B5EF4-FFF2-40B4-BE49-F238E27FC236}">
              <a16:creationId xmlns:a16="http://schemas.microsoft.com/office/drawing/2014/main" id="{00000000-0008-0000-0000-000024050000}"/>
            </a:ext>
          </a:extLst>
        </xdr:cNvPr>
        <xdr:cNvPicPr>
          <a:picLocks noChangeAspect="1"/>
        </xdr:cNvPicPr>
      </xdr:nvPicPr>
      <xdr:blipFill>
        <a:blip xmlns:r="http://schemas.openxmlformats.org/officeDocument/2006/relationships" r:embed="rId1315"/>
        <a:stretch>
          <a:fillRect/>
        </a:stretch>
      </xdr:blipFill>
      <xdr:spPr>
        <a:prstGeom prst="rect">
          <a:avLst/>
        </a:prstGeom>
        <a:ln w="9525">
          <a:solidFill>
            <a:srgbClr val="000000"/>
          </a:solidFill>
          <a:prstDash val="solid"/>
        </a:ln>
      </xdr:spPr>
    </xdr:pic>
    <xdr:clientData/>
  </xdr:twoCellAnchor>
  <xdr:twoCellAnchor>
    <xdr:from>
      <xdr:col>3</xdr:col>
      <xdr:colOff>114300</xdr:colOff>
      <xdr:row>3216</xdr:row>
      <xdr:rowOff>28575</xdr:rowOff>
    </xdr:from>
    <xdr:to>
      <xdr:col>3</xdr:col>
      <xdr:colOff>1552575</xdr:colOff>
      <xdr:row>3220</xdr:row>
      <xdr:rowOff>333375</xdr:rowOff>
    </xdr:to>
    <xdr:pic>
      <xdr:nvPicPr>
        <xdr:cNvPr id="1317" name="Имя " descr="Descr ">
          <a:extLst>
            <a:ext uri="{FF2B5EF4-FFF2-40B4-BE49-F238E27FC236}">
              <a16:creationId xmlns:a16="http://schemas.microsoft.com/office/drawing/2014/main" id="{00000000-0008-0000-0000-000025050000}"/>
            </a:ext>
          </a:extLst>
        </xdr:cNvPr>
        <xdr:cNvPicPr>
          <a:picLocks noChangeAspect="1"/>
        </xdr:cNvPicPr>
      </xdr:nvPicPr>
      <xdr:blipFill>
        <a:blip xmlns:r="http://schemas.openxmlformats.org/officeDocument/2006/relationships" r:embed="rId1316"/>
        <a:stretch>
          <a:fillRect/>
        </a:stretch>
      </xdr:blipFill>
      <xdr:spPr>
        <a:prstGeom prst="rect">
          <a:avLst/>
        </a:prstGeom>
        <a:ln w="9525">
          <a:solidFill>
            <a:srgbClr val="000000"/>
          </a:solidFill>
          <a:prstDash val="solid"/>
        </a:ln>
      </xdr:spPr>
    </xdr:pic>
    <xdr:clientData/>
  </xdr:twoCellAnchor>
  <xdr:twoCellAnchor>
    <xdr:from>
      <xdr:col>3</xdr:col>
      <xdr:colOff>114300</xdr:colOff>
      <xdr:row>3221</xdr:row>
      <xdr:rowOff>28575</xdr:rowOff>
    </xdr:from>
    <xdr:to>
      <xdr:col>3</xdr:col>
      <xdr:colOff>1552575</xdr:colOff>
      <xdr:row>3221</xdr:row>
      <xdr:rowOff>1266825</xdr:rowOff>
    </xdr:to>
    <xdr:pic>
      <xdr:nvPicPr>
        <xdr:cNvPr id="1318" name="Имя " descr="Descr ">
          <a:extLst>
            <a:ext uri="{FF2B5EF4-FFF2-40B4-BE49-F238E27FC236}">
              <a16:creationId xmlns:a16="http://schemas.microsoft.com/office/drawing/2014/main" id="{00000000-0008-0000-0000-000026050000}"/>
            </a:ext>
          </a:extLst>
        </xdr:cNvPr>
        <xdr:cNvPicPr>
          <a:picLocks noChangeAspect="1"/>
        </xdr:cNvPicPr>
      </xdr:nvPicPr>
      <xdr:blipFill>
        <a:blip xmlns:r="http://schemas.openxmlformats.org/officeDocument/2006/relationships" r:embed="rId1317"/>
        <a:stretch>
          <a:fillRect/>
        </a:stretch>
      </xdr:blipFill>
      <xdr:spPr>
        <a:prstGeom prst="rect">
          <a:avLst/>
        </a:prstGeom>
        <a:ln w="9525">
          <a:solidFill>
            <a:srgbClr val="000000"/>
          </a:solidFill>
          <a:prstDash val="solid"/>
        </a:ln>
      </xdr:spPr>
    </xdr:pic>
    <xdr:clientData/>
  </xdr:twoCellAnchor>
  <xdr:twoCellAnchor>
    <xdr:from>
      <xdr:col>3</xdr:col>
      <xdr:colOff>114300</xdr:colOff>
      <xdr:row>3222</xdr:row>
      <xdr:rowOff>28575</xdr:rowOff>
    </xdr:from>
    <xdr:to>
      <xdr:col>3</xdr:col>
      <xdr:colOff>1552575</xdr:colOff>
      <xdr:row>3224</xdr:row>
      <xdr:rowOff>419100</xdr:rowOff>
    </xdr:to>
    <xdr:pic>
      <xdr:nvPicPr>
        <xdr:cNvPr id="1319" name="Имя " descr="Descr ">
          <a:extLst>
            <a:ext uri="{FF2B5EF4-FFF2-40B4-BE49-F238E27FC236}">
              <a16:creationId xmlns:a16="http://schemas.microsoft.com/office/drawing/2014/main" id="{00000000-0008-0000-0000-000027050000}"/>
            </a:ext>
          </a:extLst>
        </xdr:cNvPr>
        <xdr:cNvPicPr>
          <a:picLocks noChangeAspect="1"/>
        </xdr:cNvPicPr>
      </xdr:nvPicPr>
      <xdr:blipFill>
        <a:blip xmlns:r="http://schemas.openxmlformats.org/officeDocument/2006/relationships" r:embed="rId1318"/>
        <a:stretch>
          <a:fillRect/>
        </a:stretch>
      </xdr:blipFill>
      <xdr:spPr>
        <a:prstGeom prst="rect">
          <a:avLst/>
        </a:prstGeom>
        <a:ln w="9525">
          <a:solidFill>
            <a:srgbClr val="000000"/>
          </a:solidFill>
          <a:prstDash val="solid"/>
        </a:ln>
      </xdr:spPr>
    </xdr:pic>
    <xdr:clientData/>
  </xdr:twoCellAnchor>
  <xdr:twoCellAnchor>
    <xdr:from>
      <xdr:col>3</xdr:col>
      <xdr:colOff>114300</xdr:colOff>
      <xdr:row>3225</xdr:row>
      <xdr:rowOff>28575</xdr:rowOff>
    </xdr:from>
    <xdr:to>
      <xdr:col>3</xdr:col>
      <xdr:colOff>1552575</xdr:colOff>
      <xdr:row>3225</xdr:row>
      <xdr:rowOff>1266825</xdr:rowOff>
    </xdr:to>
    <xdr:pic>
      <xdr:nvPicPr>
        <xdr:cNvPr id="1320" name="Имя " descr="Descr ">
          <a:extLst>
            <a:ext uri="{FF2B5EF4-FFF2-40B4-BE49-F238E27FC236}">
              <a16:creationId xmlns:a16="http://schemas.microsoft.com/office/drawing/2014/main" id="{00000000-0008-0000-0000-000028050000}"/>
            </a:ext>
          </a:extLst>
        </xdr:cNvPr>
        <xdr:cNvPicPr>
          <a:picLocks noChangeAspect="1"/>
        </xdr:cNvPicPr>
      </xdr:nvPicPr>
      <xdr:blipFill>
        <a:blip xmlns:r="http://schemas.openxmlformats.org/officeDocument/2006/relationships" r:embed="rId1319"/>
        <a:stretch>
          <a:fillRect/>
        </a:stretch>
      </xdr:blipFill>
      <xdr:spPr>
        <a:prstGeom prst="rect">
          <a:avLst/>
        </a:prstGeom>
        <a:ln w="9525">
          <a:solidFill>
            <a:srgbClr val="000000"/>
          </a:solidFill>
          <a:prstDash val="solid"/>
        </a:ln>
      </xdr:spPr>
    </xdr:pic>
    <xdr:clientData/>
  </xdr:twoCellAnchor>
  <xdr:twoCellAnchor>
    <xdr:from>
      <xdr:col>3</xdr:col>
      <xdr:colOff>114300</xdr:colOff>
      <xdr:row>3226</xdr:row>
      <xdr:rowOff>28575</xdr:rowOff>
    </xdr:from>
    <xdr:to>
      <xdr:col>3</xdr:col>
      <xdr:colOff>1552575</xdr:colOff>
      <xdr:row>3228</xdr:row>
      <xdr:rowOff>419100</xdr:rowOff>
    </xdr:to>
    <xdr:pic>
      <xdr:nvPicPr>
        <xdr:cNvPr id="1321" name="Имя " descr="Descr ">
          <a:extLst>
            <a:ext uri="{FF2B5EF4-FFF2-40B4-BE49-F238E27FC236}">
              <a16:creationId xmlns:a16="http://schemas.microsoft.com/office/drawing/2014/main" id="{00000000-0008-0000-0000-000029050000}"/>
            </a:ext>
          </a:extLst>
        </xdr:cNvPr>
        <xdr:cNvPicPr>
          <a:picLocks noChangeAspect="1"/>
        </xdr:cNvPicPr>
      </xdr:nvPicPr>
      <xdr:blipFill>
        <a:blip xmlns:r="http://schemas.openxmlformats.org/officeDocument/2006/relationships" r:embed="rId1320"/>
        <a:stretch>
          <a:fillRect/>
        </a:stretch>
      </xdr:blipFill>
      <xdr:spPr>
        <a:prstGeom prst="rect">
          <a:avLst/>
        </a:prstGeom>
        <a:ln w="9525">
          <a:solidFill>
            <a:srgbClr val="000000"/>
          </a:solidFill>
          <a:prstDash val="solid"/>
        </a:ln>
      </xdr:spPr>
    </xdr:pic>
    <xdr:clientData/>
  </xdr:twoCellAnchor>
  <xdr:twoCellAnchor>
    <xdr:from>
      <xdr:col>3</xdr:col>
      <xdr:colOff>114300</xdr:colOff>
      <xdr:row>3229</xdr:row>
      <xdr:rowOff>28575</xdr:rowOff>
    </xdr:from>
    <xdr:to>
      <xdr:col>3</xdr:col>
      <xdr:colOff>1552575</xdr:colOff>
      <xdr:row>3231</xdr:row>
      <xdr:rowOff>419100</xdr:rowOff>
    </xdr:to>
    <xdr:pic>
      <xdr:nvPicPr>
        <xdr:cNvPr id="1322" name="Имя " descr="Descr ">
          <a:extLst>
            <a:ext uri="{FF2B5EF4-FFF2-40B4-BE49-F238E27FC236}">
              <a16:creationId xmlns:a16="http://schemas.microsoft.com/office/drawing/2014/main" id="{00000000-0008-0000-0000-00002A050000}"/>
            </a:ext>
          </a:extLst>
        </xdr:cNvPr>
        <xdr:cNvPicPr>
          <a:picLocks noChangeAspect="1"/>
        </xdr:cNvPicPr>
      </xdr:nvPicPr>
      <xdr:blipFill>
        <a:blip xmlns:r="http://schemas.openxmlformats.org/officeDocument/2006/relationships" r:embed="rId1321"/>
        <a:stretch>
          <a:fillRect/>
        </a:stretch>
      </xdr:blipFill>
      <xdr:spPr>
        <a:prstGeom prst="rect">
          <a:avLst/>
        </a:prstGeom>
        <a:ln w="9525">
          <a:solidFill>
            <a:srgbClr val="000000"/>
          </a:solidFill>
          <a:prstDash val="solid"/>
        </a:ln>
      </xdr:spPr>
    </xdr:pic>
    <xdr:clientData/>
  </xdr:twoCellAnchor>
  <xdr:twoCellAnchor>
    <xdr:from>
      <xdr:col>3</xdr:col>
      <xdr:colOff>114300</xdr:colOff>
      <xdr:row>3232</xdr:row>
      <xdr:rowOff>28575</xdr:rowOff>
    </xdr:from>
    <xdr:to>
      <xdr:col>3</xdr:col>
      <xdr:colOff>1552575</xdr:colOff>
      <xdr:row>3234</xdr:row>
      <xdr:rowOff>419100</xdr:rowOff>
    </xdr:to>
    <xdr:pic>
      <xdr:nvPicPr>
        <xdr:cNvPr id="1323" name="Имя " descr="Descr ">
          <a:extLst>
            <a:ext uri="{FF2B5EF4-FFF2-40B4-BE49-F238E27FC236}">
              <a16:creationId xmlns:a16="http://schemas.microsoft.com/office/drawing/2014/main" id="{00000000-0008-0000-0000-00002B050000}"/>
            </a:ext>
          </a:extLst>
        </xdr:cNvPr>
        <xdr:cNvPicPr>
          <a:picLocks noChangeAspect="1"/>
        </xdr:cNvPicPr>
      </xdr:nvPicPr>
      <xdr:blipFill>
        <a:blip xmlns:r="http://schemas.openxmlformats.org/officeDocument/2006/relationships" r:embed="rId1322"/>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11</xdr:row>
      <xdr:rowOff>0</xdr:rowOff>
    </xdr:from>
    <xdr:to>
      <xdr:col>7</xdr:col>
      <xdr:colOff>3175</xdr:colOff>
      <xdr:row>25</xdr:row>
      <xdr:rowOff>76200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155575</xdr:colOff>
      <xdr:row>11</xdr:row>
      <xdr:rowOff>0</xdr:rowOff>
    </xdr:from>
    <xdr:to>
      <xdr:col>11</xdr:col>
      <xdr:colOff>3175</xdr:colOff>
      <xdr:row>25</xdr:row>
      <xdr:rowOff>76200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3235"/>
  <sheetViews>
    <sheetView tabSelected="1" workbookViewId="0">
      <pane xSplit="4" ySplit="3" topLeftCell="E4" activePane="bottomRight" state="frozen"/>
      <selection pane="topRight" activeCell="G1" sqref="G1"/>
      <selection pane="bottomLeft" activeCell="A6" sqref="A6"/>
      <selection pane="bottomRight" activeCell="G6" sqref="G6"/>
    </sheetView>
  </sheetViews>
  <sheetFormatPr defaultColWidth="10.5" defaultRowHeight="11.45" customHeight="1" x14ac:dyDescent="0.3"/>
  <cols>
    <col min="1" max="1" width="8.1640625" style="1" customWidth="1"/>
    <col min="2" max="2" width="14" style="1" customWidth="1"/>
    <col min="3" max="3" width="11.33203125" style="1" customWidth="1"/>
    <col min="4" max="4" width="29.83203125" style="1" customWidth="1" collapsed="1"/>
    <col min="5" max="5" width="15.5" style="1" customWidth="1"/>
    <col min="6" max="6" width="10.5" style="1" customWidth="1"/>
    <col min="7" max="7" width="19.83203125" style="1" customWidth="1"/>
    <col min="8" max="8" width="11.6640625" style="1" customWidth="1"/>
    <col min="9" max="9" width="14.1640625" style="1" customWidth="1"/>
    <col min="10" max="10" width="16.1640625" style="3" customWidth="1"/>
    <col min="11" max="11" width="10" style="1" customWidth="1"/>
    <col min="12" max="12" width="17.5" style="1" customWidth="1"/>
    <col min="13" max="13" width="17.33203125" style="1" customWidth="1"/>
    <col min="14" max="15" width="10.5" style="1" customWidth="1"/>
    <col min="16" max="16" width="17.5" style="1" customWidth="1"/>
    <col min="17" max="17" width="9.1640625" style="1" customWidth="1"/>
    <col min="18" max="18" width="9.33203125" style="4" customWidth="1"/>
    <col min="19" max="19" width="10" style="2" customWidth="1"/>
    <col min="20" max="20" width="10.5" style="1" customWidth="1"/>
    <col min="21" max="21" width="7.664062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6"/>
      <c r="B2" s="36"/>
      <c r="C2" s="36"/>
      <c r="D2" s="36"/>
      <c r="E2" s="36"/>
      <c r="F2" s="36"/>
      <c r="G2" s="36"/>
      <c r="H2" s="36"/>
      <c r="I2" s="36"/>
      <c r="J2" s="37"/>
      <c r="K2" s="36"/>
      <c r="L2" s="36"/>
      <c r="M2" s="36"/>
      <c r="N2" s="36"/>
      <c r="O2" s="36"/>
      <c r="P2" s="36"/>
      <c r="Q2" s="36"/>
      <c r="R2" s="38"/>
      <c r="S2" s="36"/>
      <c r="T2" s="36"/>
      <c r="U2" s="36"/>
      <c r="V2" s="36"/>
      <c r="W2" s="36"/>
      <c r="X2" s="36"/>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3578</v>
      </c>
      <c r="T3" s="10" t="s">
        <v>18</v>
      </c>
      <c r="U3" s="10" t="s">
        <v>19</v>
      </c>
      <c r="V3" s="7" t="s">
        <v>20</v>
      </c>
      <c r="W3" s="7" t="s">
        <v>21</v>
      </c>
      <c r="X3" s="5" t="s">
        <v>22</v>
      </c>
    </row>
    <row r="4" spans="1:24" s="1" customFormat="1" ht="26.1" customHeight="1" x14ac:dyDescent="0.3">
      <c r="A4" s="11" t="s">
        <v>23</v>
      </c>
      <c r="B4" s="11" t="s">
        <v>24</v>
      </c>
      <c r="C4" s="12" t="s">
        <v>25</v>
      </c>
      <c r="D4" s="53"/>
      <c r="E4" s="39" t="str">
        <f>HYPERLINK("https://www.google.ru/search?q=1365665-001&amp;newwindow=1&amp;tbm=isch","Еще фото")</f>
        <v>Еще фото</v>
      </c>
      <c r="F4" s="13"/>
      <c r="G4" s="11" t="s">
        <v>26</v>
      </c>
      <c r="H4" s="11" t="s">
        <v>27</v>
      </c>
      <c r="I4" s="14" t="s">
        <v>28</v>
      </c>
      <c r="J4" s="14" t="s">
        <v>29</v>
      </c>
      <c r="K4" s="15" t="s">
        <v>30</v>
      </c>
      <c r="L4" s="56" t="s">
        <v>31</v>
      </c>
      <c r="M4" s="14" t="s">
        <v>32</v>
      </c>
      <c r="N4" s="14" t="s">
        <v>33</v>
      </c>
      <c r="O4" s="14" t="s">
        <v>34</v>
      </c>
      <c r="P4" s="15" t="s">
        <v>35</v>
      </c>
      <c r="Q4" s="16">
        <v>12999</v>
      </c>
      <c r="R4" s="17">
        <v>81.25</v>
      </c>
      <c r="S4" s="18">
        <v>2803.4354999999996</v>
      </c>
      <c r="T4" s="19" t="s">
        <v>36</v>
      </c>
      <c r="U4" s="20" t="s">
        <v>37</v>
      </c>
      <c r="V4" s="21" t="s">
        <v>38</v>
      </c>
      <c r="W4" s="22">
        <v>20</v>
      </c>
      <c r="X4" s="23"/>
    </row>
    <row r="5" spans="1:24" s="1" customFormat="1" ht="26.1" customHeight="1" x14ac:dyDescent="0.3">
      <c r="A5" s="24" t="s">
        <v>23</v>
      </c>
      <c r="B5" s="24" t="s">
        <v>24</v>
      </c>
      <c r="C5" s="12" t="s">
        <v>25</v>
      </c>
      <c r="D5" s="54"/>
      <c r="E5" s="39" t="str">
        <f>HYPERLINK("https://www.google.ru/search?q=1365665-001&amp;newwindow=1&amp;tbm=isch","Еще фото")</f>
        <v>Еще фото</v>
      </c>
      <c r="F5" s="13"/>
      <c r="G5" s="24" t="s">
        <v>26</v>
      </c>
      <c r="H5" s="24" t="s">
        <v>27</v>
      </c>
      <c r="I5" s="24" t="s">
        <v>28</v>
      </c>
      <c r="J5" s="14" t="s">
        <v>29</v>
      </c>
      <c r="K5" s="15" t="s">
        <v>30</v>
      </c>
      <c r="L5" s="57"/>
      <c r="M5" s="14" t="s">
        <v>32</v>
      </c>
      <c r="N5" s="14" t="s">
        <v>33</v>
      </c>
      <c r="O5" s="14" t="s">
        <v>34</v>
      </c>
      <c r="P5" s="15" t="s">
        <v>35</v>
      </c>
      <c r="Q5" s="16">
        <v>12999</v>
      </c>
      <c r="R5" s="17">
        <v>81.25</v>
      </c>
      <c r="S5" s="18">
        <v>2803.4354999999996</v>
      </c>
      <c r="T5" s="19" t="s">
        <v>36</v>
      </c>
      <c r="U5" s="20" t="s">
        <v>39</v>
      </c>
      <c r="V5" s="21" t="s">
        <v>40</v>
      </c>
      <c r="W5" s="22">
        <v>24</v>
      </c>
      <c r="X5" s="23"/>
    </row>
    <row r="6" spans="1:24" s="1" customFormat="1" ht="26.1" customHeight="1" x14ac:dyDescent="0.3">
      <c r="A6" s="24" t="s">
        <v>23</v>
      </c>
      <c r="B6" s="24" t="s">
        <v>24</v>
      </c>
      <c r="C6" s="12" t="s">
        <v>25</v>
      </c>
      <c r="D6" s="54"/>
      <c r="E6" s="39" t="str">
        <f>HYPERLINK("https://www.google.ru/search?q=1365665-001&amp;newwindow=1&amp;tbm=isch","Еще фото")</f>
        <v>Еще фото</v>
      </c>
      <c r="F6" s="13"/>
      <c r="G6" s="24" t="s">
        <v>26</v>
      </c>
      <c r="H6" s="24" t="s">
        <v>27</v>
      </c>
      <c r="I6" s="24" t="s">
        <v>28</v>
      </c>
      <c r="J6" s="14" t="s">
        <v>29</v>
      </c>
      <c r="K6" s="15" t="s">
        <v>30</v>
      </c>
      <c r="L6" s="57"/>
      <c r="M6" s="14" t="s">
        <v>32</v>
      </c>
      <c r="N6" s="14" t="s">
        <v>33</v>
      </c>
      <c r="O6" s="14" t="s">
        <v>34</v>
      </c>
      <c r="P6" s="15" t="s">
        <v>35</v>
      </c>
      <c r="Q6" s="16">
        <v>12999</v>
      </c>
      <c r="R6" s="17">
        <v>81.25</v>
      </c>
      <c r="S6" s="18">
        <v>2803.4354999999996</v>
      </c>
      <c r="T6" s="19" t="s">
        <v>36</v>
      </c>
      <c r="U6" s="20" t="s">
        <v>41</v>
      </c>
      <c r="V6" s="21" t="s">
        <v>42</v>
      </c>
      <c r="W6" s="22">
        <v>1</v>
      </c>
      <c r="X6" s="23"/>
    </row>
    <row r="7" spans="1:24" s="1" customFormat="1" ht="26.1" customHeight="1" x14ac:dyDescent="0.3">
      <c r="A7" s="24" t="s">
        <v>23</v>
      </c>
      <c r="B7" s="24" t="s">
        <v>24</v>
      </c>
      <c r="C7" s="12" t="s">
        <v>25</v>
      </c>
      <c r="D7" s="55"/>
      <c r="E7" s="39" t="str">
        <f>HYPERLINK("https://www.google.ru/search?q=1365665-001&amp;newwindow=1&amp;tbm=isch","Еще фото")</f>
        <v>Еще фото</v>
      </c>
      <c r="F7" s="13"/>
      <c r="G7" s="24" t="s">
        <v>26</v>
      </c>
      <c r="H7" s="24" t="s">
        <v>27</v>
      </c>
      <c r="I7" s="24" t="s">
        <v>28</v>
      </c>
      <c r="J7" s="14" t="s">
        <v>29</v>
      </c>
      <c r="K7" s="15" t="s">
        <v>30</v>
      </c>
      <c r="L7" s="58"/>
      <c r="M7" s="14" t="s">
        <v>32</v>
      </c>
      <c r="N7" s="14" t="s">
        <v>33</v>
      </c>
      <c r="O7" s="14" t="s">
        <v>34</v>
      </c>
      <c r="P7" s="15" t="s">
        <v>35</v>
      </c>
      <c r="Q7" s="16">
        <v>12999</v>
      </c>
      <c r="R7" s="17">
        <v>81.25</v>
      </c>
      <c r="S7" s="18">
        <v>2803.4354999999996</v>
      </c>
      <c r="T7" s="19" t="s">
        <v>36</v>
      </c>
      <c r="U7" s="20" t="s">
        <v>43</v>
      </c>
      <c r="V7" s="21" t="s">
        <v>44</v>
      </c>
      <c r="W7" s="22">
        <v>1</v>
      </c>
      <c r="X7" s="23"/>
    </row>
    <row r="8" spans="1:24" s="1" customFormat="1" ht="108" customHeight="1" x14ac:dyDescent="0.3">
      <c r="A8" s="11" t="s">
        <v>23</v>
      </c>
      <c r="B8" s="11" t="s">
        <v>45</v>
      </c>
      <c r="C8" s="12" t="s">
        <v>46</v>
      </c>
      <c r="D8" s="25"/>
      <c r="E8" s="39" t="str">
        <f>HYPERLINK("https://www.google.ru/search?q=1366439-478&amp;newwindow=1&amp;tbm=isch","Еще фото")</f>
        <v>Еще фото</v>
      </c>
      <c r="F8" s="13"/>
      <c r="G8" s="11" t="s">
        <v>28</v>
      </c>
      <c r="H8" s="11" t="s">
        <v>27</v>
      </c>
      <c r="I8" s="14" t="s">
        <v>28</v>
      </c>
      <c r="J8" s="14" t="s">
        <v>47</v>
      </c>
      <c r="K8" s="15" t="s">
        <v>30</v>
      </c>
      <c r="L8" s="14" t="s">
        <v>48</v>
      </c>
      <c r="M8" s="14" t="s">
        <v>49</v>
      </c>
      <c r="N8" s="14" t="s">
        <v>50</v>
      </c>
      <c r="O8" s="14"/>
      <c r="P8" s="15" t="s">
        <v>51</v>
      </c>
      <c r="Q8" s="16">
        <v>13999</v>
      </c>
      <c r="R8" s="17">
        <v>78.8</v>
      </c>
      <c r="S8" s="18">
        <v>3412.9354999999996</v>
      </c>
      <c r="T8" s="19" t="s">
        <v>36</v>
      </c>
      <c r="U8" s="20" t="s">
        <v>37</v>
      </c>
      <c r="V8" s="21" t="s">
        <v>38</v>
      </c>
      <c r="W8" s="22">
        <v>2</v>
      </c>
      <c r="X8" s="23"/>
    </row>
    <row r="9" spans="1:24" s="1" customFormat="1" ht="108" customHeight="1" x14ac:dyDescent="0.3">
      <c r="A9" s="11" t="s">
        <v>23</v>
      </c>
      <c r="B9" s="11" t="s">
        <v>52</v>
      </c>
      <c r="C9" s="12" t="s">
        <v>53</v>
      </c>
      <c r="D9" s="25"/>
      <c r="E9" s="39" t="str">
        <f>HYPERLINK("https://www.google.ru/search?q=1356487-684&amp;newwindow=1&amp;tbm=isch","Еще фото")</f>
        <v>Еще фото</v>
      </c>
      <c r="F9" s="13"/>
      <c r="G9" s="11" t="s">
        <v>28</v>
      </c>
      <c r="H9" s="11" t="s">
        <v>27</v>
      </c>
      <c r="I9" s="14" t="s">
        <v>28</v>
      </c>
      <c r="J9" s="14" t="s">
        <v>29</v>
      </c>
      <c r="K9" s="15" t="s">
        <v>54</v>
      </c>
      <c r="L9" s="14" t="s">
        <v>55</v>
      </c>
      <c r="M9" s="14" t="s">
        <v>56</v>
      </c>
      <c r="N9" s="14" t="s">
        <v>57</v>
      </c>
      <c r="O9" s="14" t="s">
        <v>34</v>
      </c>
      <c r="P9" s="15" t="s">
        <v>58</v>
      </c>
      <c r="Q9" s="16">
        <v>3699</v>
      </c>
      <c r="R9" s="17">
        <v>71.67</v>
      </c>
      <c r="S9" s="18">
        <v>1204.9354999999998</v>
      </c>
      <c r="T9" s="19" t="s">
        <v>36</v>
      </c>
      <c r="U9" s="20" t="s">
        <v>59</v>
      </c>
      <c r="V9" s="21" t="s">
        <v>60</v>
      </c>
      <c r="W9" s="22">
        <v>2</v>
      </c>
      <c r="X9" s="23"/>
    </row>
    <row r="10" spans="1:24" s="1" customFormat="1" ht="108" customHeight="1" x14ac:dyDescent="0.3">
      <c r="A10" s="11" t="s">
        <v>23</v>
      </c>
      <c r="B10" s="11" t="s">
        <v>61</v>
      </c>
      <c r="C10" s="12" t="s">
        <v>62</v>
      </c>
      <c r="D10" s="25"/>
      <c r="E10" s="39" t="str">
        <f>HYPERLINK("https://www.google.ru/search?q=1365801-554&amp;newwindow=1&amp;tbm=isch","Еще фото")</f>
        <v>Еще фото</v>
      </c>
      <c r="F10" s="13"/>
      <c r="G10" s="11" t="s">
        <v>63</v>
      </c>
      <c r="H10" s="11" t="s">
        <v>27</v>
      </c>
      <c r="I10" s="14" t="s">
        <v>28</v>
      </c>
      <c r="J10" s="14" t="s">
        <v>29</v>
      </c>
      <c r="K10" s="15" t="s">
        <v>64</v>
      </c>
      <c r="L10" s="14" t="s">
        <v>65</v>
      </c>
      <c r="M10" s="14" t="s">
        <v>66</v>
      </c>
      <c r="N10" s="14" t="s">
        <v>67</v>
      </c>
      <c r="O10" s="14" t="s">
        <v>34</v>
      </c>
      <c r="P10" s="15" t="s">
        <v>68</v>
      </c>
      <c r="Q10" s="16">
        <v>8099</v>
      </c>
      <c r="R10" s="17">
        <v>67.06</v>
      </c>
      <c r="S10" s="18">
        <v>3067.9354999999996</v>
      </c>
      <c r="T10" s="19" t="s">
        <v>36</v>
      </c>
      <c r="U10" s="20" t="s">
        <v>69</v>
      </c>
      <c r="V10" s="21" t="s">
        <v>70</v>
      </c>
      <c r="W10" s="22">
        <v>5</v>
      </c>
      <c r="X10" s="23"/>
    </row>
    <row r="11" spans="1:24" s="1" customFormat="1" ht="21" customHeight="1" x14ac:dyDescent="0.3">
      <c r="A11" s="11" t="s">
        <v>23</v>
      </c>
      <c r="B11" s="11" t="s">
        <v>71</v>
      </c>
      <c r="C11" s="26" t="s">
        <v>72</v>
      </c>
      <c r="D11" s="53"/>
      <c r="E11" s="39" t="str">
        <f>HYPERLINK("https://www.google.ru/search?q=1388827-110&amp;newwindow=1&amp;tbm=isch","Еще фото")</f>
        <v>Еще фото</v>
      </c>
      <c r="F11" s="13"/>
      <c r="G11" s="11" t="s">
        <v>28</v>
      </c>
      <c r="H11" s="11" t="s">
        <v>27</v>
      </c>
      <c r="I11" s="14" t="s">
        <v>28</v>
      </c>
      <c r="J11" s="14" t="s">
        <v>29</v>
      </c>
      <c r="K11" s="15" t="s">
        <v>30</v>
      </c>
      <c r="L11" s="56" t="s">
        <v>73</v>
      </c>
      <c r="M11" s="14" t="s">
        <v>32</v>
      </c>
      <c r="N11" s="14" t="s">
        <v>74</v>
      </c>
      <c r="O11" s="14"/>
      <c r="P11" s="15" t="s">
        <v>51</v>
      </c>
      <c r="Q11" s="16">
        <v>20399</v>
      </c>
      <c r="R11" s="17">
        <v>64.37</v>
      </c>
      <c r="S11" s="18">
        <v>8357.9354999999996</v>
      </c>
      <c r="T11" s="19" t="s">
        <v>36</v>
      </c>
      <c r="U11" s="20" t="s">
        <v>69</v>
      </c>
      <c r="V11" s="21" t="s">
        <v>75</v>
      </c>
      <c r="W11" s="22">
        <v>1</v>
      </c>
      <c r="X11" s="23"/>
    </row>
    <row r="12" spans="1:24" s="1" customFormat="1" ht="21" customHeight="1" x14ac:dyDescent="0.3">
      <c r="A12" s="24" t="s">
        <v>23</v>
      </c>
      <c r="B12" s="24" t="s">
        <v>71</v>
      </c>
      <c r="C12" s="27" t="s">
        <v>72</v>
      </c>
      <c r="D12" s="54"/>
      <c r="E12" s="39" t="str">
        <f>HYPERLINK("https://www.google.ru/search?q=1388827-110&amp;newwindow=1&amp;tbm=isch","Еще фото")</f>
        <v>Еще фото</v>
      </c>
      <c r="F12" s="13"/>
      <c r="G12" s="24" t="s">
        <v>28</v>
      </c>
      <c r="H12" s="24" t="s">
        <v>27</v>
      </c>
      <c r="I12" s="24" t="s">
        <v>28</v>
      </c>
      <c r="J12" s="14" t="s">
        <v>29</v>
      </c>
      <c r="K12" s="15" t="s">
        <v>30</v>
      </c>
      <c r="L12" s="57"/>
      <c r="M12" s="14" t="s">
        <v>32</v>
      </c>
      <c r="N12" s="14" t="s">
        <v>74</v>
      </c>
      <c r="O12" s="14"/>
      <c r="P12" s="15" t="s">
        <v>51</v>
      </c>
      <c r="Q12" s="16">
        <v>20399</v>
      </c>
      <c r="R12" s="17">
        <v>64.37</v>
      </c>
      <c r="S12" s="18">
        <v>8357.9354999999996</v>
      </c>
      <c r="T12" s="19" t="s">
        <v>36</v>
      </c>
      <c r="U12" s="20" t="s">
        <v>37</v>
      </c>
      <c r="V12" s="21" t="s">
        <v>38</v>
      </c>
      <c r="W12" s="22">
        <v>3</v>
      </c>
      <c r="X12" s="23"/>
    </row>
    <row r="13" spans="1:24" s="1" customFormat="1" ht="21" customHeight="1" x14ac:dyDescent="0.3">
      <c r="A13" s="24" t="s">
        <v>23</v>
      </c>
      <c r="B13" s="24" t="s">
        <v>71</v>
      </c>
      <c r="C13" s="27" t="s">
        <v>72</v>
      </c>
      <c r="D13" s="54"/>
      <c r="E13" s="39" t="str">
        <f>HYPERLINK("https://www.google.ru/search?q=1388827-110&amp;newwindow=1&amp;tbm=isch","Еще фото")</f>
        <v>Еще фото</v>
      </c>
      <c r="F13" s="13"/>
      <c r="G13" s="24" t="s">
        <v>28</v>
      </c>
      <c r="H13" s="24" t="s">
        <v>27</v>
      </c>
      <c r="I13" s="24" t="s">
        <v>28</v>
      </c>
      <c r="J13" s="14" t="s">
        <v>29</v>
      </c>
      <c r="K13" s="15" t="s">
        <v>30</v>
      </c>
      <c r="L13" s="57"/>
      <c r="M13" s="14" t="s">
        <v>32</v>
      </c>
      <c r="N13" s="14" t="s">
        <v>74</v>
      </c>
      <c r="O13" s="14"/>
      <c r="P13" s="15" t="s">
        <v>51</v>
      </c>
      <c r="Q13" s="16">
        <v>20399</v>
      </c>
      <c r="R13" s="17">
        <v>64.37</v>
      </c>
      <c r="S13" s="18">
        <v>8357.9354999999996</v>
      </c>
      <c r="T13" s="19" t="s">
        <v>36</v>
      </c>
      <c r="U13" s="20" t="s">
        <v>39</v>
      </c>
      <c r="V13" s="21" t="s">
        <v>40</v>
      </c>
      <c r="W13" s="22">
        <v>11</v>
      </c>
      <c r="X13" s="23"/>
    </row>
    <row r="14" spans="1:24" s="1" customFormat="1" ht="21" customHeight="1" x14ac:dyDescent="0.3">
      <c r="A14" s="24" t="s">
        <v>23</v>
      </c>
      <c r="B14" s="24" t="s">
        <v>71</v>
      </c>
      <c r="C14" s="27" t="s">
        <v>72</v>
      </c>
      <c r="D14" s="54"/>
      <c r="E14" s="39" t="str">
        <f>HYPERLINK("https://www.google.ru/search?q=1388827-110&amp;newwindow=1&amp;tbm=isch","Еще фото")</f>
        <v>Еще фото</v>
      </c>
      <c r="F14" s="13"/>
      <c r="G14" s="24" t="s">
        <v>28</v>
      </c>
      <c r="H14" s="24" t="s">
        <v>27</v>
      </c>
      <c r="I14" s="24" t="s">
        <v>28</v>
      </c>
      <c r="J14" s="14" t="s">
        <v>29</v>
      </c>
      <c r="K14" s="15" t="s">
        <v>30</v>
      </c>
      <c r="L14" s="57"/>
      <c r="M14" s="14" t="s">
        <v>32</v>
      </c>
      <c r="N14" s="14" t="s">
        <v>74</v>
      </c>
      <c r="O14" s="14"/>
      <c r="P14" s="15" t="s">
        <v>51</v>
      </c>
      <c r="Q14" s="16">
        <v>20399</v>
      </c>
      <c r="R14" s="17">
        <v>64.37</v>
      </c>
      <c r="S14" s="18">
        <v>8357.9354999999996</v>
      </c>
      <c r="T14" s="19" t="s">
        <v>36</v>
      </c>
      <c r="U14" s="20" t="s">
        <v>41</v>
      </c>
      <c r="V14" s="21" t="s">
        <v>42</v>
      </c>
      <c r="W14" s="22">
        <v>5</v>
      </c>
      <c r="X14" s="23"/>
    </row>
    <row r="15" spans="1:24" s="1" customFormat="1" ht="32.1" customHeight="1" x14ac:dyDescent="0.3">
      <c r="A15" s="24" t="s">
        <v>23</v>
      </c>
      <c r="B15" s="24" t="s">
        <v>71</v>
      </c>
      <c r="C15" s="27" t="s">
        <v>72</v>
      </c>
      <c r="D15" s="55"/>
      <c r="E15" s="39" t="str">
        <f>HYPERLINK("https://www.google.ru/search?q=1388827-110&amp;newwindow=1&amp;tbm=isch","Еще фото")</f>
        <v>Еще фото</v>
      </c>
      <c r="F15" s="13"/>
      <c r="G15" s="24" t="s">
        <v>28</v>
      </c>
      <c r="H15" s="24" t="s">
        <v>27</v>
      </c>
      <c r="I15" s="24" t="s">
        <v>28</v>
      </c>
      <c r="J15" s="14" t="s">
        <v>29</v>
      </c>
      <c r="K15" s="15" t="s">
        <v>30</v>
      </c>
      <c r="L15" s="58"/>
      <c r="M15" s="14" t="s">
        <v>32</v>
      </c>
      <c r="N15" s="14" t="s">
        <v>74</v>
      </c>
      <c r="O15" s="14"/>
      <c r="P15" s="15" t="s">
        <v>51</v>
      </c>
      <c r="Q15" s="16">
        <v>20399</v>
      </c>
      <c r="R15" s="17">
        <v>64.37</v>
      </c>
      <c r="S15" s="18">
        <v>8357.9354999999996</v>
      </c>
      <c r="T15" s="19" t="s">
        <v>36</v>
      </c>
      <c r="U15" s="20" t="s">
        <v>43</v>
      </c>
      <c r="V15" s="21" t="s">
        <v>44</v>
      </c>
      <c r="W15" s="22">
        <v>7</v>
      </c>
      <c r="X15" s="23"/>
    </row>
    <row r="16" spans="1:24" s="1" customFormat="1" ht="51.95" customHeight="1" x14ac:dyDescent="0.3">
      <c r="A16" s="11" t="s">
        <v>23</v>
      </c>
      <c r="B16" s="11" t="s">
        <v>76</v>
      </c>
      <c r="C16" s="12" t="s">
        <v>77</v>
      </c>
      <c r="D16" s="59"/>
      <c r="E16" s="39" t="str">
        <f>HYPERLINK("https://www.google.ru/search?q=1381662-465&amp;newwindow=1&amp;tbm=isch","Еще фото")</f>
        <v>Еще фото</v>
      </c>
      <c r="F16" s="13"/>
      <c r="G16" s="11" t="s">
        <v>63</v>
      </c>
      <c r="H16" s="11" t="s">
        <v>27</v>
      </c>
      <c r="I16" s="14" t="s">
        <v>28</v>
      </c>
      <c r="J16" s="14" t="s">
        <v>29</v>
      </c>
      <c r="K16" s="15" t="s">
        <v>64</v>
      </c>
      <c r="L16" s="56" t="s">
        <v>78</v>
      </c>
      <c r="M16" s="14"/>
      <c r="N16" s="14" t="s">
        <v>50</v>
      </c>
      <c r="O16" s="14"/>
      <c r="P16" s="15" t="s">
        <v>79</v>
      </c>
      <c r="Q16" s="16">
        <v>8199</v>
      </c>
      <c r="R16" s="17">
        <v>64.17</v>
      </c>
      <c r="S16" s="18">
        <v>3378.4354999999996</v>
      </c>
      <c r="T16" s="19" t="s">
        <v>36</v>
      </c>
      <c r="U16" s="20" t="s">
        <v>69</v>
      </c>
      <c r="V16" s="21" t="s">
        <v>70</v>
      </c>
      <c r="W16" s="22">
        <v>7</v>
      </c>
      <c r="X16" s="23"/>
    </row>
    <row r="17" spans="1:24" s="1" customFormat="1" ht="60.95" customHeight="1" x14ac:dyDescent="0.3">
      <c r="A17" s="24" t="s">
        <v>23</v>
      </c>
      <c r="B17" s="24" t="s">
        <v>76</v>
      </c>
      <c r="C17" s="12" t="s">
        <v>77</v>
      </c>
      <c r="D17" s="60"/>
      <c r="E17" s="39" t="str">
        <f>HYPERLINK("https://www.google.ru/search?q=1381662-465&amp;newwindow=1&amp;tbm=isch","Еще фото")</f>
        <v>Еще фото</v>
      </c>
      <c r="F17" s="13"/>
      <c r="G17" s="24" t="s">
        <v>63</v>
      </c>
      <c r="H17" s="24" t="s">
        <v>27</v>
      </c>
      <c r="I17" s="24" t="s">
        <v>28</v>
      </c>
      <c r="J17" s="14" t="s">
        <v>29</v>
      </c>
      <c r="K17" s="15" t="s">
        <v>64</v>
      </c>
      <c r="L17" s="58"/>
      <c r="M17" s="14"/>
      <c r="N17" s="14" t="s">
        <v>50</v>
      </c>
      <c r="O17" s="14"/>
      <c r="P17" s="15" t="s">
        <v>79</v>
      </c>
      <c r="Q17" s="16">
        <v>8199</v>
      </c>
      <c r="R17" s="17">
        <v>64.17</v>
      </c>
      <c r="S17" s="18">
        <v>3378.4354999999996</v>
      </c>
      <c r="T17" s="19" t="s">
        <v>36</v>
      </c>
      <c r="U17" s="20" t="s">
        <v>41</v>
      </c>
      <c r="V17" s="21" t="s">
        <v>40</v>
      </c>
      <c r="W17" s="22">
        <v>2</v>
      </c>
      <c r="X17" s="23"/>
    </row>
    <row r="18" spans="1:24" s="1" customFormat="1" ht="51.95" customHeight="1" x14ac:dyDescent="0.3">
      <c r="A18" s="11" t="s">
        <v>23</v>
      </c>
      <c r="B18" s="11" t="s">
        <v>80</v>
      </c>
      <c r="C18" s="12" t="s">
        <v>81</v>
      </c>
      <c r="D18" s="59"/>
      <c r="E18" s="39" t="str">
        <f>HYPERLINK("https://www.google.ru/search?q=1356403-090&amp;newwindow=1&amp;tbm=isch","Еще фото")</f>
        <v>Еще фото</v>
      </c>
      <c r="F18" s="13"/>
      <c r="G18" s="11" t="s">
        <v>82</v>
      </c>
      <c r="H18" s="11" t="s">
        <v>27</v>
      </c>
      <c r="I18" s="14" t="s">
        <v>28</v>
      </c>
      <c r="J18" s="14" t="s">
        <v>29</v>
      </c>
      <c r="K18" s="15" t="s">
        <v>64</v>
      </c>
      <c r="L18" s="56" t="s">
        <v>83</v>
      </c>
      <c r="M18" s="14" t="s">
        <v>49</v>
      </c>
      <c r="N18" s="14" t="s">
        <v>84</v>
      </c>
      <c r="O18" s="14"/>
      <c r="P18" s="15" t="s">
        <v>85</v>
      </c>
      <c r="Q18" s="16">
        <v>3899</v>
      </c>
      <c r="R18" s="17">
        <v>61.84</v>
      </c>
      <c r="S18" s="18">
        <v>1710.9354999999998</v>
      </c>
      <c r="T18" s="19" t="s">
        <v>36</v>
      </c>
      <c r="U18" s="20" t="s">
        <v>69</v>
      </c>
      <c r="V18" s="21" t="s">
        <v>70</v>
      </c>
      <c r="W18" s="22">
        <v>16</v>
      </c>
      <c r="X18" s="23"/>
    </row>
    <row r="19" spans="1:24" s="1" customFormat="1" ht="60.95" customHeight="1" x14ac:dyDescent="0.3">
      <c r="A19" s="24" t="s">
        <v>23</v>
      </c>
      <c r="B19" s="24" t="s">
        <v>80</v>
      </c>
      <c r="C19" s="12" t="s">
        <v>81</v>
      </c>
      <c r="D19" s="60"/>
      <c r="E19" s="39" t="str">
        <f>HYPERLINK("https://www.google.ru/search?q=1356403-090&amp;newwindow=1&amp;tbm=isch","Еще фото")</f>
        <v>Еще фото</v>
      </c>
      <c r="F19" s="13"/>
      <c r="G19" s="24" t="s">
        <v>82</v>
      </c>
      <c r="H19" s="24" t="s">
        <v>27</v>
      </c>
      <c r="I19" s="24" t="s">
        <v>28</v>
      </c>
      <c r="J19" s="14" t="s">
        <v>29</v>
      </c>
      <c r="K19" s="15" t="s">
        <v>64</v>
      </c>
      <c r="L19" s="58"/>
      <c r="M19" s="14" t="s">
        <v>49</v>
      </c>
      <c r="N19" s="14" t="s">
        <v>84</v>
      </c>
      <c r="O19" s="14"/>
      <c r="P19" s="15" t="s">
        <v>85</v>
      </c>
      <c r="Q19" s="16">
        <v>3899</v>
      </c>
      <c r="R19" s="17">
        <v>61.84</v>
      </c>
      <c r="S19" s="18">
        <v>1710.9354999999998</v>
      </c>
      <c r="T19" s="19" t="s">
        <v>36</v>
      </c>
      <c r="U19" s="20" t="s">
        <v>37</v>
      </c>
      <c r="V19" s="21" t="s">
        <v>86</v>
      </c>
      <c r="W19" s="22">
        <v>8</v>
      </c>
      <c r="X19" s="23"/>
    </row>
    <row r="20" spans="1:24" s="1" customFormat="1" ht="14.1" customHeight="1" x14ac:dyDescent="0.3">
      <c r="A20" s="11" t="s">
        <v>23</v>
      </c>
      <c r="B20" s="11" t="s">
        <v>87</v>
      </c>
      <c r="C20" s="12" t="s">
        <v>88</v>
      </c>
      <c r="D20" s="53"/>
      <c r="E20" s="39" t="str">
        <f t="shared" ref="E20:E26" si="0">HYPERLINK("https://www.google.ru/search?q=1373362-410&amp;newwindow=1&amp;tbm=isch","Еще фото")</f>
        <v>Еще фото</v>
      </c>
      <c r="F20" s="13"/>
      <c r="G20" s="11" t="s">
        <v>28</v>
      </c>
      <c r="H20" s="11" t="s">
        <v>27</v>
      </c>
      <c r="I20" s="14" t="s">
        <v>28</v>
      </c>
      <c r="J20" s="14" t="s">
        <v>29</v>
      </c>
      <c r="K20" s="15" t="s">
        <v>30</v>
      </c>
      <c r="L20" s="56" t="s">
        <v>89</v>
      </c>
      <c r="M20" s="14" t="s">
        <v>90</v>
      </c>
      <c r="N20" s="14" t="s">
        <v>91</v>
      </c>
      <c r="O20" s="14"/>
      <c r="P20" s="15" t="s">
        <v>51</v>
      </c>
      <c r="Q20" s="16">
        <v>8299</v>
      </c>
      <c r="R20" s="17">
        <v>58.7</v>
      </c>
      <c r="S20" s="18">
        <v>3941.9354999999996</v>
      </c>
      <c r="T20" s="19" t="s">
        <v>36</v>
      </c>
      <c r="U20" s="20" t="s">
        <v>69</v>
      </c>
      <c r="V20" s="21" t="s">
        <v>75</v>
      </c>
      <c r="W20" s="22">
        <v>3</v>
      </c>
      <c r="X20" s="23"/>
    </row>
    <row r="21" spans="1:24" s="1" customFormat="1" ht="14.1" customHeight="1" x14ac:dyDescent="0.3">
      <c r="A21" s="24" t="s">
        <v>23</v>
      </c>
      <c r="B21" s="24" t="s">
        <v>87</v>
      </c>
      <c r="C21" s="12" t="s">
        <v>88</v>
      </c>
      <c r="D21" s="54"/>
      <c r="E21" s="39" t="str">
        <f t="shared" si="0"/>
        <v>Еще фото</v>
      </c>
      <c r="F21" s="13"/>
      <c r="G21" s="24" t="s">
        <v>28</v>
      </c>
      <c r="H21" s="24" t="s">
        <v>27</v>
      </c>
      <c r="I21" s="24" t="s">
        <v>28</v>
      </c>
      <c r="J21" s="14" t="s">
        <v>29</v>
      </c>
      <c r="K21" s="15" t="s">
        <v>30</v>
      </c>
      <c r="L21" s="57"/>
      <c r="M21" s="14" t="s">
        <v>90</v>
      </c>
      <c r="N21" s="14" t="s">
        <v>91</v>
      </c>
      <c r="O21" s="14"/>
      <c r="P21" s="15" t="s">
        <v>51</v>
      </c>
      <c r="Q21" s="16">
        <v>8299</v>
      </c>
      <c r="R21" s="17">
        <v>58.7</v>
      </c>
      <c r="S21" s="18">
        <v>3941.9354999999996</v>
      </c>
      <c r="T21" s="19" t="s">
        <v>36</v>
      </c>
      <c r="U21" s="20" t="s">
        <v>37</v>
      </c>
      <c r="V21" s="21" t="s">
        <v>38</v>
      </c>
      <c r="W21" s="22">
        <v>13</v>
      </c>
      <c r="X21" s="23"/>
    </row>
    <row r="22" spans="1:24" s="1" customFormat="1" ht="14.1" customHeight="1" x14ac:dyDescent="0.3">
      <c r="A22" s="24" t="s">
        <v>23</v>
      </c>
      <c r="B22" s="24" t="s">
        <v>87</v>
      </c>
      <c r="C22" s="12" t="s">
        <v>88</v>
      </c>
      <c r="D22" s="54"/>
      <c r="E22" s="39" t="str">
        <f t="shared" si="0"/>
        <v>Еще фото</v>
      </c>
      <c r="F22" s="13"/>
      <c r="G22" s="24" t="s">
        <v>28</v>
      </c>
      <c r="H22" s="24" t="s">
        <v>27</v>
      </c>
      <c r="I22" s="24" t="s">
        <v>28</v>
      </c>
      <c r="J22" s="14" t="s">
        <v>29</v>
      </c>
      <c r="K22" s="15" t="s">
        <v>30</v>
      </c>
      <c r="L22" s="57"/>
      <c r="M22" s="14" t="s">
        <v>90</v>
      </c>
      <c r="N22" s="14" t="s">
        <v>91</v>
      </c>
      <c r="O22" s="14"/>
      <c r="P22" s="15" t="s">
        <v>51</v>
      </c>
      <c r="Q22" s="16">
        <v>8299</v>
      </c>
      <c r="R22" s="17">
        <v>58.7</v>
      </c>
      <c r="S22" s="18">
        <v>3941.9354999999996</v>
      </c>
      <c r="T22" s="19" t="s">
        <v>36</v>
      </c>
      <c r="U22" s="20" t="s">
        <v>39</v>
      </c>
      <c r="V22" s="21" t="s">
        <v>40</v>
      </c>
      <c r="W22" s="22">
        <v>22</v>
      </c>
      <c r="X22" s="23"/>
    </row>
    <row r="23" spans="1:24" s="1" customFormat="1" ht="14.1" customHeight="1" x14ac:dyDescent="0.3">
      <c r="A23" s="24" t="s">
        <v>23</v>
      </c>
      <c r="B23" s="24" t="s">
        <v>87</v>
      </c>
      <c r="C23" s="12" t="s">
        <v>88</v>
      </c>
      <c r="D23" s="54"/>
      <c r="E23" s="39" t="str">
        <f t="shared" si="0"/>
        <v>Еще фото</v>
      </c>
      <c r="F23" s="13"/>
      <c r="G23" s="24" t="s">
        <v>28</v>
      </c>
      <c r="H23" s="24" t="s">
        <v>27</v>
      </c>
      <c r="I23" s="24" t="s">
        <v>28</v>
      </c>
      <c r="J23" s="14" t="s">
        <v>29</v>
      </c>
      <c r="K23" s="15" t="s">
        <v>30</v>
      </c>
      <c r="L23" s="57"/>
      <c r="M23" s="14" t="s">
        <v>90</v>
      </c>
      <c r="N23" s="14" t="s">
        <v>91</v>
      </c>
      <c r="O23" s="14"/>
      <c r="P23" s="15" t="s">
        <v>51</v>
      </c>
      <c r="Q23" s="16">
        <v>8299</v>
      </c>
      <c r="R23" s="17">
        <v>58.7</v>
      </c>
      <c r="S23" s="18">
        <v>3941.9354999999996</v>
      </c>
      <c r="T23" s="19" t="s">
        <v>36</v>
      </c>
      <c r="U23" s="20" t="s">
        <v>41</v>
      </c>
      <c r="V23" s="21" t="s">
        <v>42</v>
      </c>
      <c r="W23" s="22">
        <v>2</v>
      </c>
      <c r="X23" s="23"/>
    </row>
    <row r="24" spans="1:24" s="1" customFormat="1" ht="14.1" customHeight="1" x14ac:dyDescent="0.3">
      <c r="A24" s="24" t="s">
        <v>23</v>
      </c>
      <c r="B24" s="24" t="s">
        <v>87</v>
      </c>
      <c r="C24" s="12" t="s">
        <v>88</v>
      </c>
      <c r="D24" s="54"/>
      <c r="E24" s="39" t="str">
        <f t="shared" si="0"/>
        <v>Еще фото</v>
      </c>
      <c r="F24" s="13"/>
      <c r="G24" s="24" t="s">
        <v>28</v>
      </c>
      <c r="H24" s="24" t="s">
        <v>27</v>
      </c>
      <c r="I24" s="24" t="s">
        <v>28</v>
      </c>
      <c r="J24" s="14" t="s">
        <v>29</v>
      </c>
      <c r="K24" s="15" t="s">
        <v>30</v>
      </c>
      <c r="L24" s="57"/>
      <c r="M24" s="14" t="s">
        <v>90</v>
      </c>
      <c r="N24" s="14" t="s">
        <v>91</v>
      </c>
      <c r="O24" s="14"/>
      <c r="P24" s="15" t="s">
        <v>51</v>
      </c>
      <c r="Q24" s="16">
        <v>8299</v>
      </c>
      <c r="R24" s="17">
        <v>58.7</v>
      </c>
      <c r="S24" s="18">
        <v>3941.9354999999996</v>
      </c>
      <c r="T24" s="19" t="s">
        <v>36</v>
      </c>
      <c r="U24" s="20" t="s">
        <v>43</v>
      </c>
      <c r="V24" s="21" t="s">
        <v>44</v>
      </c>
      <c r="W24" s="22">
        <v>3</v>
      </c>
      <c r="X24" s="23"/>
    </row>
    <row r="25" spans="1:24" s="1" customFormat="1" ht="14.1" customHeight="1" x14ac:dyDescent="0.3">
      <c r="A25" s="24" t="s">
        <v>23</v>
      </c>
      <c r="B25" s="24" t="s">
        <v>87</v>
      </c>
      <c r="C25" s="12" t="s">
        <v>88</v>
      </c>
      <c r="D25" s="54"/>
      <c r="E25" s="39" t="str">
        <f t="shared" si="0"/>
        <v>Еще фото</v>
      </c>
      <c r="F25" s="13"/>
      <c r="G25" s="24" t="s">
        <v>28</v>
      </c>
      <c r="H25" s="24" t="s">
        <v>27</v>
      </c>
      <c r="I25" s="24" t="s">
        <v>28</v>
      </c>
      <c r="J25" s="14" t="s">
        <v>29</v>
      </c>
      <c r="K25" s="15" t="s">
        <v>30</v>
      </c>
      <c r="L25" s="57"/>
      <c r="M25" s="14" t="s">
        <v>90</v>
      </c>
      <c r="N25" s="14" t="s">
        <v>91</v>
      </c>
      <c r="O25" s="14"/>
      <c r="P25" s="15" t="s">
        <v>51</v>
      </c>
      <c r="Q25" s="16">
        <v>8299</v>
      </c>
      <c r="R25" s="17">
        <v>58.7</v>
      </c>
      <c r="S25" s="18">
        <v>3941.9354999999996</v>
      </c>
      <c r="T25" s="19" t="s">
        <v>36</v>
      </c>
      <c r="U25" s="20" t="s">
        <v>92</v>
      </c>
      <c r="V25" s="21" t="s">
        <v>93</v>
      </c>
      <c r="W25" s="22">
        <v>1</v>
      </c>
      <c r="X25" s="23"/>
    </row>
    <row r="26" spans="1:24" s="1" customFormat="1" ht="17.100000000000001" customHeight="1" x14ac:dyDescent="0.3">
      <c r="A26" s="24" t="s">
        <v>23</v>
      </c>
      <c r="B26" s="24" t="s">
        <v>87</v>
      </c>
      <c r="C26" s="12" t="s">
        <v>88</v>
      </c>
      <c r="D26" s="55"/>
      <c r="E26" s="39" t="str">
        <f t="shared" si="0"/>
        <v>Еще фото</v>
      </c>
      <c r="F26" s="13"/>
      <c r="G26" s="24" t="s">
        <v>28</v>
      </c>
      <c r="H26" s="24" t="s">
        <v>27</v>
      </c>
      <c r="I26" s="24" t="s">
        <v>28</v>
      </c>
      <c r="J26" s="14" t="s">
        <v>29</v>
      </c>
      <c r="K26" s="15" t="s">
        <v>30</v>
      </c>
      <c r="L26" s="58"/>
      <c r="M26" s="14" t="s">
        <v>90</v>
      </c>
      <c r="N26" s="14" t="s">
        <v>91</v>
      </c>
      <c r="O26" s="14"/>
      <c r="P26" s="15" t="s">
        <v>51</v>
      </c>
      <c r="Q26" s="16">
        <v>8299</v>
      </c>
      <c r="R26" s="17">
        <v>58.7</v>
      </c>
      <c r="S26" s="18">
        <v>3941.9354999999996</v>
      </c>
      <c r="T26" s="19" t="s">
        <v>36</v>
      </c>
      <c r="U26" s="20" t="s">
        <v>94</v>
      </c>
      <c r="V26" s="21" t="s">
        <v>95</v>
      </c>
      <c r="W26" s="22">
        <v>2</v>
      </c>
      <c r="X26" s="23"/>
    </row>
    <row r="27" spans="1:24" s="1" customFormat="1" ht="51.95" customHeight="1" x14ac:dyDescent="0.3">
      <c r="A27" s="11" t="s">
        <v>23</v>
      </c>
      <c r="B27" s="11" t="s">
        <v>96</v>
      </c>
      <c r="C27" s="12" t="s">
        <v>97</v>
      </c>
      <c r="D27" s="59"/>
      <c r="E27" s="39" t="str">
        <f>HYPERLINK("https://www.google.ru/search?q=1365336-020&amp;newwindow=1&amp;tbm=isch","Еще фото")</f>
        <v>Еще фото</v>
      </c>
      <c r="F27" s="13" t="s">
        <v>98</v>
      </c>
      <c r="G27" s="11" t="s">
        <v>63</v>
      </c>
      <c r="H27" s="11" t="s">
        <v>27</v>
      </c>
      <c r="I27" s="14" t="s">
        <v>28</v>
      </c>
      <c r="J27" s="14" t="s">
        <v>29</v>
      </c>
      <c r="K27" s="15" t="s">
        <v>64</v>
      </c>
      <c r="L27" s="56" t="s">
        <v>99</v>
      </c>
      <c r="M27" s="14" t="s">
        <v>66</v>
      </c>
      <c r="N27" s="14" t="s">
        <v>84</v>
      </c>
      <c r="O27" s="14"/>
      <c r="P27" s="15" t="s">
        <v>100</v>
      </c>
      <c r="Q27" s="16">
        <v>6099</v>
      </c>
      <c r="R27" s="17">
        <v>55.77</v>
      </c>
      <c r="S27" s="18">
        <v>3102.4354999999996</v>
      </c>
      <c r="T27" s="19" t="s">
        <v>36</v>
      </c>
      <c r="U27" s="20" t="s">
        <v>69</v>
      </c>
      <c r="V27" s="21" t="s">
        <v>70</v>
      </c>
      <c r="W27" s="22">
        <v>10</v>
      </c>
      <c r="X27" s="23"/>
    </row>
    <row r="28" spans="1:24" s="1" customFormat="1" ht="60.95" customHeight="1" x14ac:dyDescent="0.3">
      <c r="A28" s="24" t="s">
        <v>23</v>
      </c>
      <c r="B28" s="24" t="s">
        <v>96</v>
      </c>
      <c r="C28" s="12" t="s">
        <v>97</v>
      </c>
      <c r="D28" s="60"/>
      <c r="E28" s="39" t="str">
        <f>HYPERLINK("https://www.google.ru/search?q=1365336-020&amp;newwindow=1&amp;tbm=isch","Еще фото")</f>
        <v>Еще фото</v>
      </c>
      <c r="F28" s="13" t="s">
        <v>98</v>
      </c>
      <c r="G28" s="24" t="s">
        <v>63</v>
      </c>
      <c r="H28" s="24" t="s">
        <v>27</v>
      </c>
      <c r="I28" s="24" t="s">
        <v>28</v>
      </c>
      <c r="J28" s="14" t="s">
        <v>29</v>
      </c>
      <c r="K28" s="15" t="s">
        <v>64</v>
      </c>
      <c r="L28" s="58"/>
      <c r="M28" s="14" t="s">
        <v>66</v>
      </c>
      <c r="N28" s="14" t="s">
        <v>84</v>
      </c>
      <c r="O28" s="14"/>
      <c r="P28" s="15" t="s">
        <v>100</v>
      </c>
      <c r="Q28" s="16">
        <v>6099</v>
      </c>
      <c r="R28" s="17">
        <v>55.77</v>
      </c>
      <c r="S28" s="18">
        <v>3102.4354999999996</v>
      </c>
      <c r="T28" s="19" t="s">
        <v>36</v>
      </c>
      <c r="U28" s="20" t="s">
        <v>37</v>
      </c>
      <c r="V28" s="21" t="s">
        <v>86</v>
      </c>
      <c r="W28" s="22">
        <v>8</v>
      </c>
      <c r="X28" s="23"/>
    </row>
    <row r="29" spans="1:24" s="1" customFormat="1" ht="21" customHeight="1" x14ac:dyDescent="0.3">
      <c r="A29" s="11" t="s">
        <v>23</v>
      </c>
      <c r="B29" s="11" t="s">
        <v>101</v>
      </c>
      <c r="C29" s="26" t="s">
        <v>102</v>
      </c>
      <c r="D29" s="53"/>
      <c r="E29" s="39" t="str">
        <f>HYPERLINK("https://www.google.ru/search?q=1373362-014&amp;newwindow=1&amp;tbm=isch","Еще фото")</f>
        <v>Еще фото</v>
      </c>
      <c r="F29" s="13" t="s">
        <v>98</v>
      </c>
      <c r="G29" s="11" t="s">
        <v>28</v>
      </c>
      <c r="H29" s="11" t="s">
        <v>27</v>
      </c>
      <c r="I29" s="14" t="s">
        <v>28</v>
      </c>
      <c r="J29" s="14" t="s">
        <v>29</v>
      </c>
      <c r="K29" s="15" t="s">
        <v>30</v>
      </c>
      <c r="L29" s="56" t="s">
        <v>103</v>
      </c>
      <c r="M29" s="14" t="s">
        <v>90</v>
      </c>
      <c r="N29" s="14" t="s">
        <v>84</v>
      </c>
      <c r="O29" s="14"/>
      <c r="P29" s="15" t="s">
        <v>51</v>
      </c>
      <c r="Q29" s="16">
        <v>8599</v>
      </c>
      <c r="R29" s="17">
        <v>55.72</v>
      </c>
      <c r="S29" s="18">
        <v>4378.9354999999996</v>
      </c>
      <c r="T29" s="19" t="s">
        <v>36</v>
      </c>
      <c r="U29" s="20" t="s">
        <v>37</v>
      </c>
      <c r="V29" s="21" t="s">
        <v>38</v>
      </c>
      <c r="W29" s="22">
        <v>8</v>
      </c>
      <c r="X29" s="23"/>
    </row>
    <row r="30" spans="1:24" s="1" customFormat="1" ht="21" customHeight="1" x14ac:dyDescent="0.3">
      <c r="A30" s="24" t="s">
        <v>23</v>
      </c>
      <c r="B30" s="24" t="s">
        <v>101</v>
      </c>
      <c r="C30" s="27" t="s">
        <v>102</v>
      </c>
      <c r="D30" s="54"/>
      <c r="E30" s="39" t="str">
        <f>HYPERLINK("https://www.google.ru/search?q=1373362-014&amp;newwindow=1&amp;tbm=isch","Еще фото")</f>
        <v>Еще фото</v>
      </c>
      <c r="F30" s="13" t="s">
        <v>98</v>
      </c>
      <c r="G30" s="24" t="s">
        <v>28</v>
      </c>
      <c r="H30" s="24" t="s">
        <v>27</v>
      </c>
      <c r="I30" s="24" t="s">
        <v>28</v>
      </c>
      <c r="J30" s="14" t="s">
        <v>29</v>
      </c>
      <c r="K30" s="15" t="s">
        <v>30</v>
      </c>
      <c r="L30" s="57"/>
      <c r="M30" s="14" t="s">
        <v>90</v>
      </c>
      <c r="N30" s="14" t="s">
        <v>84</v>
      </c>
      <c r="O30" s="14"/>
      <c r="P30" s="15" t="s">
        <v>51</v>
      </c>
      <c r="Q30" s="16">
        <v>8599</v>
      </c>
      <c r="R30" s="17">
        <v>55.72</v>
      </c>
      <c r="S30" s="18">
        <v>4378.9354999999996</v>
      </c>
      <c r="T30" s="19" t="s">
        <v>36</v>
      </c>
      <c r="U30" s="20" t="s">
        <v>39</v>
      </c>
      <c r="V30" s="21" t="s">
        <v>40</v>
      </c>
      <c r="W30" s="22">
        <v>8</v>
      </c>
      <c r="X30" s="23"/>
    </row>
    <row r="31" spans="1:24" s="1" customFormat="1" ht="21" customHeight="1" x14ac:dyDescent="0.3">
      <c r="A31" s="24" t="s">
        <v>23</v>
      </c>
      <c r="B31" s="24" t="s">
        <v>101</v>
      </c>
      <c r="C31" s="27" t="s">
        <v>102</v>
      </c>
      <c r="D31" s="54"/>
      <c r="E31" s="39" t="str">
        <f>HYPERLINK("https://www.google.ru/search?q=1373362-014&amp;newwindow=1&amp;tbm=isch","Еще фото")</f>
        <v>Еще фото</v>
      </c>
      <c r="F31" s="13" t="s">
        <v>98</v>
      </c>
      <c r="G31" s="24" t="s">
        <v>28</v>
      </c>
      <c r="H31" s="24" t="s">
        <v>27</v>
      </c>
      <c r="I31" s="24" t="s">
        <v>28</v>
      </c>
      <c r="J31" s="14" t="s">
        <v>29</v>
      </c>
      <c r="K31" s="15" t="s">
        <v>30</v>
      </c>
      <c r="L31" s="57"/>
      <c r="M31" s="14" t="s">
        <v>90</v>
      </c>
      <c r="N31" s="14" t="s">
        <v>84</v>
      </c>
      <c r="O31" s="14"/>
      <c r="P31" s="15" t="s">
        <v>51</v>
      </c>
      <c r="Q31" s="16">
        <v>8599</v>
      </c>
      <c r="R31" s="17">
        <v>55.72</v>
      </c>
      <c r="S31" s="18">
        <v>4378.9354999999996</v>
      </c>
      <c r="T31" s="19" t="s">
        <v>36</v>
      </c>
      <c r="U31" s="20" t="s">
        <v>41</v>
      </c>
      <c r="V31" s="21" t="s">
        <v>42</v>
      </c>
      <c r="W31" s="22">
        <v>7</v>
      </c>
      <c r="X31" s="23"/>
    </row>
    <row r="32" spans="1:24" s="1" customFormat="1" ht="21" customHeight="1" x14ac:dyDescent="0.3">
      <c r="A32" s="24" t="s">
        <v>23</v>
      </c>
      <c r="B32" s="24" t="s">
        <v>101</v>
      </c>
      <c r="C32" s="27" t="s">
        <v>102</v>
      </c>
      <c r="D32" s="54"/>
      <c r="E32" s="39" t="str">
        <f>HYPERLINK("https://www.google.ru/search?q=1373362-014&amp;newwindow=1&amp;tbm=isch","Еще фото")</f>
        <v>Еще фото</v>
      </c>
      <c r="F32" s="13" t="s">
        <v>98</v>
      </c>
      <c r="G32" s="24" t="s">
        <v>28</v>
      </c>
      <c r="H32" s="24" t="s">
        <v>27</v>
      </c>
      <c r="I32" s="24" t="s">
        <v>28</v>
      </c>
      <c r="J32" s="14" t="s">
        <v>29</v>
      </c>
      <c r="K32" s="15" t="s">
        <v>30</v>
      </c>
      <c r="L32" s="57"/>
      <c r="M32" s="14" t="s">
        <v>90</v>
      </c>
      <c r="N32" s="14" t="s">
        <v>84</v>
      </c>
      <c r="O32" s="14"/>
      <c r="P32" s="15" t="s">
        <v>51</v>
      </c>
      <c r="Q32" s="16">
        <v>8599</v>
      </c>
      <c r="R32" s="17">
        <v>55.72</v>
      </c>
      <c r="S32" s="18">
        <v>4378.9354999999996</v>
      </c>
      <c r="T32" s="19" t="s">
        <v>36</v>
      </c>
      <c r="U32" s="20" t="s">
        <v>43</v>
      </c>
      <c r="V32" s="21" t="s">
        <v>44</v>
      </c>
      <c r="W32" s="22">
        <v>2</v>
      </c>
      <c r="X32" s="23"/>
    </row>
    <row r="33" spans="1:24" s="1" customFormat="1" ht="32.1" customHeight="1" x14ac:dyDescent="0.3">
      <c r="A33" s="24" t="s">
        <v>23</v>
      </c>
      <c r="B33" s="24" t="s">
        <v>101</v>
      </c>
      <c r="C33" s="27" t="s">
        <v>102</v>
      </c>
      <c r="D33" s="55"/>
      <c r="E33" s="39" t="str">
        <f>HYPERLINK("https://www.google.ru/search?q=1373362-014&amp;newwindow=1&amp;tbm=isch","Еще фото")</f>
        <v>Еще фото</v>
      </c>
      <c r="F33" s="13" t="s">
        <v>98</v>
      </c>
      <c r="G33" s="24" t="s">
        <v>28</v>
      </c>
      <c r="H33" s="24" t="s">
        <v>27</v>
      </c>
      <c r="I33" s="24" t="s">
        <v>28</v>
      </c>
      <c r="J33" s="14" t="s">
        <v>29</v>
      </c>
      <c r="K33" s="15" t="s">
        <v>30</v>
      </c>
      <c r="L33" s="58"/>
      <c r="M33" s="14" t="s">
        <v>90</v>
      </c>
      <c r="N33" s="14" t="s">
        <v>84</v>
      </c>
      <c r="O33" s="14"/>
      <c r="P33" s="15" t="s">
        <v>51</v>
      </c>
      <c r="Q33" s="16">
        <v>8599</v>
      </c>
      <c r="R33" s="17">
        <v>55.72</v>
      </c>
      <c r="S33" s="18">
        <v>4378.9354999999996</v>
      </c>
      <c r="T33" s="19" t="s">
        <v>36</v>
      </c>
      <c r="U33" s="20" t="s">
        <v>104</v>
      </c>
      <c r="V33" s="21" t="s">
        <v>105</v>
      </c>
      <c r="W33" s="22">
        <v>3</v>
      </c>
      <c r="X33" s="23"/>
    </row>
    <row r="34" spans="1:24" s="1" customFormat="1" ht="108" customHeight="1" x14ac:dyDescent="0.3">
      <c r="A34" s="11" t="s">
        <v>23</v>
      </c>
      <c r="B34" s="11" t="s">
        <v>106</v>
      </c>
      <c r="C34" s="12" t="s">
        <v>107</v>
      </c>
      <c r="D34" s="25"/>
      <c r="E34" s="39" t="str">
        <f>HYPERLINK("https://www.google.ru/search?q=1386482-025&amp;newwindow=1&amp;tbm=isch","Еще фото")</f>
        <v>Еще фото</v>
      </c>
      <c r="F34" s="13"/>
      <c r="G34" s="11" t="s">
        <v>63</v>
      </c>
      <c r="H34" s="11" t="s">
        <v>27</v>
      </c>
      <c r="I34" s="14" t="s">
        <v>28</v>
      </c>
      <c r="J34" s="14" t="s">
        <v>29</v>
      </c>
      <c r="K34" s="15" t="s">
        <v>64</v>
      </c>
      <c r="L34" s="14" t="s">
        <v>108</v>
      </c>
      <c r="M34" s="14"/>
      <c r="N34" s="14" t="s">
        <v>84</v>
      </c>
      <c r="O34" s="14"/>
      <c r="P34" s="15" t="s">
        <v>109</v>
      </c>
      <c r="Q34" s="16">
        <v>4799</v>
      </c>
      <c r="R34" s="17">
        <v>53.16</v>
      </c>
      <c r="S34" s="18">
        <v>2584.9354999999996</v>
      </c>
      <c r="T34" s="19" t="s">
        <v>36</v>
      </c>
      <c r="U34" s="20" t="s">
        <v>69</v>
      </c>
      <c r="V34" s="21" t="s">
        <v>70</v>
      </c>
      <c r="W34" s="22">
        <v>17</v>
      </c>
      <c r="X34" s="23"/>
    </row>
    <row r="35" spans="1:24" s="1" customFormat="1" ht="108" customHeight="1" x14ac:dyDescent="0.3">
      <c r="A35" s="11" t="s">
        <v>23</v>
      </c>
      <c r="B35" s="11" t="s">
        <v>110</v>
      </c>
      <c r="C35" s="12" t="s">
        <v>111</v>
      </c>
      <c r="D35" s="25"/>
      <c r="E35" s="39" t="str">
        <f>HYPERLINK("https://www.google.ru/search?q=6009318-001&amp;newwindow=1&amp;tbm=isch","Еще фото")</f>
        <v>Еще фото</v>
      </c>
      <c r="F35" s="13"/>
      <c r="G35" s="11" t="s">
        <v>28</v>
      </c>
      <c r="H35" s="11" t="s">
        <v>27</v>
      </c>
      <c r="I35" s="14" t="s">
        <v>28</v>
      </c>
      <c r="J35" s="14" t="s">
        <v>47</v>
      </c>
      <c r="K35" s="15" t="s">
        <v>54</v>
      </c>
      <c r="L35" s="14" t="s">
        <v>112</v>
      </c>
      <c r="M35" s="14"/>
      <c r="N35" s="14" t="s">
        <v>33</v>
      </c>
      <c r="O35" s="14"/>
      <c r="P35" s="15" t="s">
        <v>113</v>
      </c>
      <c r="Q35" s="16">
        <v>4899</v>
      </c>
      <c r="R35" s="17">
        <v>53.1</v>
      </c>
      <c r="S35" s="18">
        <v>2642.4354999999996</v>
      </c>
      <c r="T35" s="19" t="s">
        <v>36</v>
      </c>
      <c r="U35" s="20" t="s">
        <v>114</v>
      </c>
      <c r="V35" s="21" t="s">
        <v>115</v>
      </c>
      <c r="W35" s="22">
        <v>5</v>
      </c>
      <c r="X35" s="23"/>
    </row>
    <row r="36" spans="1:24" s="1" customFormat="1" ht="35.1" customHeight="1" x14ac:dyDescent="0.3">
      <c r="A36" s="11" t="s">
        <v>23</v>
      </c>
      <c r="B36" s="11" t="s">
        <v>116</v>
      </c>
      <c r="C36" s="12" t="s">
        <v>117</v>
      </c>
      <c r="D36" s="53"/>
      <c r="E36" s="39" t="str">
        <f>HYPERLINK("https://www.google.ru/search?q=1366627-011&amp;newwindow=1&amp;tbm=isch","Еще фото")</f>
        <v>Еще фото</v>
      </c>
      <c r="F36" s="13"/>
      <c r="G36" s="11" t="s">
        <v>28</v>
      </c>
      <c r="H36" s="11" t="s">
        <v>27</v>
      </c>
      <c r="I36" s="14" t="s">
        <v>28</v>
      </c>
      <c r="J36" s="14" t="s">
        <v>47</v>
      </c>
      <c r="K36" s="15" t="s">
        <v>30</v>
      </c>
      <c r="L36" s="56" t="s">
        <v>118</v>
      </c>
      <c r="M36" s="14" t="s">
        <v>49</v>
      </c>
      <c r="N36" s="14" t="s">
        <v>84</v>
      </c>
      <c r="O36" s="14" t="s">
        <v>34</v>
      </c>
      <c r="P36" s="15" t="s">
        <v>113</v>
      </c>
      <c r="Q36" s="16">
        <v>11699</v>
      </c>
      <c r="R36" s="17">
        <v>52.49</v>
      </c>
      <c r="S36" s="18">
        <v>6391.4354999999996</v>
      </c>
      <c r="T36" s="19" t="s">
        <v>36</v>
      </c>
      <c r="U36" s="20" t="s">
        <v>37</v>
      </c>
      <c r="V36" s="21" t="s">
        <v>38</v>
      </c>
      <c r="W36" s="22">
        <v>4</v>
      </c>
      <c r="X36" s="23"/>
    </row>
    <row r="37" spans="1:24" s="1" customFormat="1" ht="35.1" customHeight="1" x14ac:dyDescent="0.3">
      <c r="A37" s="24" t="s">
        <v>23</v>
      </c>
      <c r="B37" s="24" t="s">
        <v>116</v>
      </c>
      <c r="C37" s="12" t="s">
        <v>117</v>
      </c>
      <c r="D37" s="54"/>
      <c r="E37" s="39" t="str">
        <f>HYPERLINK("https://www.google.ru/search?q=1366627-011&amp;newwindow=1&amp;tbm=isch","Еще фото")</f>
        <v>Еще фото</v>
      </c>
      <c r="F37" s="13"/>
      <c r="G37" s="24" t="s">
        <v>28</v>
      </c>
      <c r="H37" s="24" t="s">
        <v>27</v>
      </c>
      <c r="I37" s="24" t="s">
        <v>28</v>
      </c>
      <c r="J37" s="14" t="s">
        <v>47</v>
      </c>
      <c r="K37" s="15" t="s">
        <v>30</v>
      </c>
      <c r="L37" s="57"/>
      <c r="M37" s="14" t="s">
        <v>49</v>
      </c>
      <c r="N37" s="14" t="s">
        <v>84</v>
      </c>
      <c r="O37" s="14" t="s">
        <v>34</v>
      </c>
      <c r="P37" s="15" t="s">
        <v>113</v>
      </c>
      <c r="Q37" s="16">
        <v>11699</v>
      </c>
      <c r="R37" s="17">
        <v>52.49</v>
      </c>
      <c r="S37" s="18">
        <v>6391.4354999999996</v>
      </c>
      <c r="T37" s="19" t="s">
        <v>36</v>
      </c>
      <c r="U37" s="20" t="s">
        <v>41</v>
      </c>
      <c r="V37" s="21" t="s">
        <v>42</v>
      </c>
      <c r="W37" s="22">
        <v>3</v>
      </c>
      <c r="X37" s="23"/>
    </row>
    <row r="38" spans="1:24" s="1" customFormat="1" ht="36.950000000000003" customHeight="1" x14ac:dyDescent="0.3">
      <c r="A38" s="24" t="s">
        <v>23</v>
      </c>
      <c r="B38" s="24" t="s">
        <v>116</v>
      </c>
      <c r="C38" s="12" t="s">
        <v>117</v>
      </c>
      <c r="D38" s="55"/>
      <c r="E38" s="39" t="str">
        <f>HYPERLINK("https://www.google.ru/search?q=1366627-011&amp;newwindow=1&amp;tbm=isch","Еще фото")</f>
        <v>Еще фото</v>
      </c>
      <c r="F38" s="13"/>
      <c r="G38" s="24" t="s">
        <v>28</v>
      </c>
      <c r="H38" s="24" t="s">
        <v>27</v>
      </c>
      <c r="I38" s="24" t="s">
        <v>28</v>
      </c>
      <c r="J38" s="14" t="s">
        <v>47</v>
      </c>
      <c r="K38" s="15" t="s">
        <v>30</v>
      </c>
      <c r="L38" s="58"/>
      <c r="M38" s="14" t="s">
        <v>49</v>
      </c>
      <c r="N38" s="14" t="s">
        <v>84</v>
      </c>
      <c r="O38" s="14" t="s">
        <v>34</v>
      </c>
      <c r="P38" s="15" t="s">
        <v>113</v>
      </c>
      <c r="Q38" s="16">
        <v>11699</v>
      </c>
      <c r="R38" s="17">
        <v>52.49</v>
      </c>
      <c r="S38" s="18">
        <v>6391.4354999999996</v>
      </c>
      <c r="T38" s="19" t="s">
        <v>36</v>
      </c>
      <c r="U38" s="20" t="s">
        <v>43</v>
      </c>
      <c r="V38" s="21" t="s">
        <v>44</v>
      </c>
      <c r="W38" s="22">
        <v>1</v>
      </c>
      <c r="X38" s="23"/>
    </row>
    <row r="39" spans="1:24" s="1" customFormat="1" ht="108" customHeight="1" x14ac:dyDescent="0.3">
      <c r="A39" s="11" t="s">
        <v>23</v>
      </c>
      <c r="B39" s="11" t="s">
        <v>119</v>
      </c>
      <c r="C39" s="12" t="s">
        <v>120</v>
      </c>
      <c r="D39" s="25"/>
      <c r="E39" s="39" t="str">
        <f>HYPERLINK("https://www.google.ru/search?q=1376799-025&amp;newwindow=1&amp;tbm=isch","Еще фото")</f>
        <v>Еще фото</v>
      </c>
      <c r="F39" s="13"/>
      <c r="G39" s="11" t="s">
        <v>28</v>
      </c>
      <c r="H39" s="11" t="s">
        <v>27</v>
      </c>
      <c r="I39" s="14" t="s">
        <v>28</v>
      </c>
      <c r="J39" s="14" t="s">
        <v>29</v>
      </c>
      <c r="K39" s="15" t="s">
        <v>30</v>
      </c>
      <c r="L39" s="14" t="s">
        <v>121</v>
      </c>
      <c r="M39" s="14" t="s">
        <v>32</v>
      </c>
      <c r="N39" s="14" t="s">
        <v>84</v>
      </c>
      <c r="O39" s="14"/>
      <c r="P39" s="15" t="s">
        <v>100</v>
      </c>
      <c r="Q39" s="16">
        <v>10699</v>
      </c>
      <c r="R39" s="17">
        <v>52.45</v>
      </c>
      <c r="S39" s="18">
        <v>5850.9355000000005</v>
      </c>
      <c r="T39" s="19" t="s">
        <v>36</v>
      </c>
      <c r="U39" s="20" t="s">
        <v>37</v>
      </c>
      <c r="V39" s="21" t="s">
        <v>38</v>
      </c>
      <c r="W39" s="22">
        <v>17</v>
      </c>
      <c r="X39" s="23"/>
    </row>
    <row r="40" spans="1:24" s="1" customFormat="1" ht="21" customHeight="1" x14ac:dyDescent="0.3">
      <c r="A40" s="11" t="s">
        <v>23</v>
      </c>
      <c r="B40" s="11" t="s">
        <v>122</v>
      </c>
      <c r="C40" s="26" t="s">
        <v>123</v>
      </c>
      <c r="D40" s="53"/>
      <c r="E40" s="39" t="str">
        <f>HYPERLINK("https://www.google.ru/search?q=1390155-390&amp;newwindow=1&amp;tbm=isch","Еще фото")</f>
        <v>Еще фото</v>
      </c>
      <c r="F40" s="13"/>
      <c r="G40" s="11" t="s">
        <v>28</v>
      </c>
      <c r="H40" s="11" t="s">
        <v>27</v>
      </c>
      <c r="I40" s="14" t="s">
        <v>28</v>
      </c>
      <c r="J40" s="14" t="s">
        <v>47</v>
      </c>
      <c r="K40" s="15" t="s">
        <v>54</v>
      </c>
      <c r="L40" s="56" t="s">
        <v>124</v>
      </c>
      <c r="M40" s="14"/>
      <c r="N40" s="14" t="s">
        <v>125</v>
      </c>
      <c r="O40" s="14"/>
      <c r="P40" s="15" t="s">
        <v>51</v>
      </c>
      <c r="Q40" s="16">
        <v>4499</v>
      </c>
      <c r="R40" s="17">
        <v>49.82</v>
      </c>
      <c r="S40" s="18">
        <v>2596.4354999999996</v>
      </c>
      <c r="T40" s="19" t="s">
        <v>36</v>
      </c>
      <c r="U40" s="20" t="s">
        <v>114</v>
      </c>
      <c r="V40" s="21" t="s">
        <v>115</v>
      </c>
      <c r="W40" s="22">
        <v>6</v>
      </c>
      <c r="X40" s="23"/>
    </row>
    <row r="41" spans="1:24" s="1" customFormat="1" ht="21" customHeight="1" x14ac:dyDescent="0.3">
      <c r="A41" s="24" t="s">
        <v>23</v>
      </c>
      <c r="B41" s="24" t="s">
        <v>122</v>
      </c>
      <c r="C41" s="27" t="s">
        <v>123</v>
      </c>
      <c r="D41" s="54"/>
      <c r="E41" s="39" t="str">
        <f>HYPERLINK("https://www.google.ru/search?q=1390155-390&amp;newwindow=1&amp;tbm=isch","Еще фото")</f>
        <v>Еще фото</v>
      </c>
      <c r="F41" s="13"/>
      <c r="G41" s="24" t="s">
        <v>28</v>
      </c>
      <c r="H41" s="24" t="s">
        <v>27</v>
      </c>
      <c r="I41" s="24" t="s">
        <v>28</v>
      </c>
      <c r="J41" s="14" t="s">
        <v>47</v>
      </c>
      <c r="K41" s="15" t="s">
        <v>54</v>
      </c>
      <c r="L41" s="57"/>
      <c r="M41" s="14"/>
      <c r="N41" s="14" t="s">
        <v>125</v>
      </c>
      <c r="O41" s="14"/>
      <c r="P41" s="15" t="s">
        <v>51</v>
      </c>
      <c r="Q41" s="16">
        <v>4499</v>
      </c>
      <c r="R41" s="17">
        <v>49.82</v>
      </c>
      <c r="S41" s="18">
        <v>2596.4354999999996</v>
      </c>
      <c r="T41" s="19" t="s">
        <v>36</v>
      </c>
      <c r="U41" s="20" t="s">
        <v>126</v>
      </c>
      <c r="V41" s="21" t="s">
        <v>127</v>
      </c>
      <c r="W41" s="22">
        <v>7</v>
      </c>
      <c r="X41" s="23"/>
    </row>
    <row r="42" spans="1:24" s="1" customFormat="1" ht="21" customHeight="1" x14ac:dyDescent="0.3">
      <c r="A42" s="24" t="s">
        <v>23</v>
      </c>
      <c r="B42" s="24" t="s">
        <v>122</v>
      </c>
      <c r="C42" s="27" t="s">
        <v>123</v>
      </c>
      <c r="D42" s="54"/>
      <c r="E42" s="39" t="str">
        <f>HYPERLINK("https://www.google.ru/search?q=1390155-390&amp;newwindow=1&amp;tbm=isch","Еще фото")</f>
        <v>Еще фото</v>
      </c>
      <c r="F42" s="13"/>
      <c r="G42" s="24" t="s">
        <v>28</v>
      </c>
      <c r="H42" s="24" t="s">
        <v>27</v>
      </c>
      <c r="I42" s="24" t="s">
        <v>28</v>
      </c>
      <c r="J42" s="14" t="s">
        <v>47</v>
      </c>
      <c r="K42" s="15" t="s">
        <v>54</v>
      </c>
      <c r="L42" s="57"/>
      <c r="M42" s="14"/>
      <c r="N42" s="14" t="s">
        <v>125</v>
      </c>
      <c r="O42" s="14"/>
      <c r="P42" s="15" t="s">
        <v>51</v>
      </c>
      <c r="Q42" s="16">
        <v>4499</v>
      </c>
      <c r="R42" s="17">
        <v>49.82</v>
      </c>
      <c r="S42" s="18">
        <v>2596.4354999999996</v>
      </c>
      <c r="T42" s="19" t="s">
        <v>36</v>
      </c>
      <c r="U42" s="20" t="s">
        <v>128</v>
      </c>
      <c r="V42" s="21" t="s">
        <v>129</v>
      </c>
      <c r="W42" s="22">
        <v>4</v>
      </c>
      <c r="X42" s="23"/>
    </row>
    <row r="43" spans="1:24" s="1" customFormat="1" ht="21" customHeight="1" x14ac:dyDescent="0.3">
      <c r="A43" s="24" t="s">
        <v>23</v>
      </c>
      <c r="B43" s="24" t="s">
        <v>122</v>
      </c>
      <c r="C43" s="27" t="s">
        <v>123</v>
      </c>
      <c r="D43" s="54"/>
      <c r="E43" s="39" t="str">
        <f>HYPERLINK("https://www.google.ru/search?q=1390155-390&amp;newwindow=1&amp;tbm=isch","Еще фото")</f>
        <v>Еще фото</v>
      </c>
      <c r="F43" s="13"/>
      <c r="G43" s="24" t="s">
        <v>28</v>
      </c>
      <c r="H43" s="24" t="s">
        <v>27</v>
      </c>
      <c r="I43" s="24" t="s">
        <v>28</v>
      </c>
      <c r="J43" s="14" t="s">
        <v>47</v>
      </c>
      <c r="K43" s="15" t="s">
        <v>54</v>
      </c>
      <c r="L43" s="57"/>
      <c r="M43" s="14"/>
      <c r="N43" s="14" t="s">
        <v>125</v>
      </c>
      <c r="O43" s="14"/>
      <c r="P43" s="15" t="s">
        <v>51</v>
      </c>
      <c r="Q43" s="16">
        <v>4499</v>
      </c>
      <c r="R43" s="17">
        <v>49.82</v>
      </c>
      <c r="S43" s="18">
        <v>2596.4354999999996</v>
      </c>
      <c r="T43" s="19" t="s">
        <v>36</v>
      </c>
      <c r="U43" s="20" t="s">
        <v>59</v>
      </c>
      <c r="V43" s="21" t="s">
        <v>60</v>
      </c>
      <c r="W43" s="22">
        <v>10</v>
      </c>
      <c r="X43" s="23"/>
    </row>
    <row r="44" spans="1:24" s="1" customFormat="1" ht="32.1" customHeight="1" x14ac:dyDescent="0.3">
      <c r="A44" s="24" t="s">
        <v>23</v>
      </c>
      <c r="B44" s="24" t="s">
        <v>122</v>
      </c>
      <c r="C44" s="27" t="s">
        <v>123</v>
      </c>
      <c r="D44" s="55"/>
      <c r="E44" s="39" t="str">
        <f>HYPERLINK("https://www.google.ru/search?q=1390155-390&amp;newwindow=1&amp;tbm=isch","Еще фото")</f>
        <v>Еще фото</v>
      </c>
      <c r="F44" s="13"/>
      <c r="G44" s="24" t="s">
        <v>28</v>
      </c>
      <c r="H44" s="24" t="s">
        <v>27</v>
      </c>
      <c r="I44" s="24" t="s">
        <v>28</v>
      </c>
      <c r="J44" s="14" t="s">
        <v>47</v>
      </c>
      <c r="K44" s="15" t="s">
        <v>54</v>
      </c>
      <c r="L44" s="58"/>
      <c r="M44" s="14"/>
      <c r="N44" s="14" t="s">
        <v>125</v>
      </c>
      <c r="O44" s="14"/>
      <c r="P44" s="15" t="s">
        <v>51</v>
      </c>
      <c r="Q44" s="16">
        <v>4499</v>
      </c>
      <c r="R44" s="17">
        <v>49.82</v>
      </c>
      <c r="S44" s="18">
        <v>2596.4354999999996</v>
      </c>
      <c r="T44" s="19" t="s">
        <v>36</v>
      </c>
      <c r="U44" s="20" t="s">
        <v>130</v>
      </c>
      <c r="V44" s="21" t="s">
        <v>131</v>
      </c>
      <c r="W44" s="22">
        <v>4</v>
      </c>
      <c r="X44" s="23"/>
    </row>
    <row r="45" spans="1:24" s="1" customFormat="1" ht="35.1" customHeight="1" x14ac:dyDescent="0.3">
      <c r="A45" s="11" t="s">
        <v>23</v>
      </c>
      <c r="B45" s="11" t="s">
        <v>122</v>
      </c>
      <c r="C45" s="12" t="s">
        <v>132</v>
      </c>
      <c r="D45" s="53"/>
      <c r="E45" s="39" t="str">
        <f>HYPERLINK("https://www.google.ru/search?q=1390155-410&amp;newwindow=1&amp;tbm=isch","Еще фото")</f>
        <v>Еще фото</v>
      </c>
      <c r="F45" s="13"/>
      <c r="G45" s="11" t="s">
        <v>28</v>
      </c>
      <c r="H45" s="11" t="s">
        <v>27</v>
      </c>
      <c r="I45" s="14" t="s">
        <v>28</v>
      </c>
      <c r="J45" s="14" t="s">
        <v>47</v>
      </c>
      <c r="K45" s="15" t="s">
        <v>54</v>
      </c>
      <c r="L45" s="56" t="s">
        <v>124</v>
      </c>
      <c r="M45" s="14"/>
      <c r="N45" s="14" t="s">
        <v>91</v>
      </c>
      <c r="O45" s="14"/>
      <c r="P45" s="15" t="s">
        <v>133</v>
      </c>
      <c r="Q45" s="16">
        <v>4499</v>
      </c>
      <c r="R45" s="17">
        <v>49.82</v>
      </c>
      <c r="S45" s="18">
        <v>2596.4354999999996</v>
      </c>
      <c r="T45" s="19" t="s">
        <v>36</v>
      </c>
      <c r="U45" s="20" t="s">
        <v>114</v>
      </c>
      <c r="V45" s="21" t="s">
        <v>115</v>
      </c>
      <c r="W45" s="22">
        <v>5</v>
      </c>
      <c r="X45" s="23"/>
    </row>
    <row r="46" spans="1:24" s="1" customFormat="1" ht="35.1" customHeight="1" x14ac:dyDescent="0.3">
      <c r="A46" s="24" t="s">
        <v>23</v>
      </c>
      <c r="B46" s="24" t="s">
        <v>122</v>
      </c>
      <c r="C46" s="12" t="s">
        <v>132</v>
      </c>
      <c r="D46" s="54"/>
      <c r="E46" s="39" t="str">
        <f>HYPERLINK("https://www.google.ru/search?q=1390155-410&amp;newwindow=1&amp;tbm=isch","Еще фото")</f>
        <v>Еще фото</v>
      </c>
      <c r="F46" s="13"/>
      <c r="G46" s="24" t="s">
        <v>28</v>
      </c>
      <c r="H46" s="24" t="s">
        <v>27</v>
      </c>
      <c r="I46" s="24" t="s">
        <v>28</v>
      </c>
      <c r="J46" s="14" t="s">
        <v>47</v>
      </c>
      <c r="K46" s="15" t="s">
        <v>54</v>
      </c>
      <c r="L46" s="57"/>
      <c r="M46" s="14"/>
      <c r="N46" s="14" t="s">
        <v>91</v>
      </c>
      <c r="O46" s="14"/>
      <c r="P46" s="15" t="s">
        <v>133</v>
      </c>
      <c r="Q46" s="16">
        <v>4499</v>
      </c>
      <c r="R46" s="17">
        <v>49.82</v>
      </c>
      <c r="S46" s="18">
        <v>2596.4354999999996</v>
      </c>
      <c r="T46" s="19" t="s">
        <v>36</v>
      </c>
      <c r="U46" s="20" t="s">
        <v>126</v>
      </c>
      <c r="V46" s="21" t="s">
        <v>127</v>
      </c>
      <c r="W46" s="22">
        <v>2</v>
      </c>
      <c r="X46" s="23"/>
    </row>
    <row r="47" spans="1:24" s="1" customFormat="1" ht="36.950000000000003" customHeight="1" x14ac:dyDescent="0.3">
      <c r="A47" s="24" t="s">
        <v>23</v>
      </c>
      <c r="B47" s="24" t="s">
        <v>122</v>
      </c>
      <c r="C47" s="12" t="s">
        <v>132</v>
      </c>
      <c r="D47" s="55"/>
      <c r="E47" s="39" t="str">
        <f>HYPERLINK("https://www.google.ru/search?q=1390155-410&amp;newwindow=1&amp;tbm=isch","Еще фото")</f>
        <v>Еще фото</v>
      </c>
      <c r="F47" s="13"/>
      <c r="G47" s="24" t="s">
        <v>28</v>
      </c>
      <c r="H47" s="24" t="s">
        <v>27</v>
      </c>
      <c r="I47" s="24" t="s">
        <v>28</v>
      </c>
      <c r="J47" s="14" t="s">
        <v>47</v>
      </c>
      <c r="K47" s="15" t="s">
        <v>54</v>
      </c>
      <c r="L47" s="58"/>
      <c r="M47" s="14"/>
      <c r="N47" s="14" t="s">
        <v>91</v>
      </c>
      <c r="O47" s="14"/>
      <c r="P47" s="15" t="s">
        <v>133</v>
      </c>
      <c r="Q47" s="16">
        <v>4499</v>
      </c>
      <c r="R47" s="17">
        <v>49.82</v>
      </c>
      <c r="S47" s="18">
        <v>2596.4354999999996</v>
      </c>
      <c r="T47" s="19" t="s">
        <v>36</v>
      </c>
      <c r="U47" s="20" t="s">
        <v>130</v>
      </c>
      <c r="V47" s="21" t="s">
        <v>131</v>
      </c>
      <c r="W47" s="22">
        <v>1</v>
      </c>
      <c r="X47" s="23"/>
    </row>
    <row r="48" spans="1:24" s="1" customFormat="1" ht="35.1" customHeight="1" x14ac:dyDescent="0.3">
      <c r="A48" s="11" t="s">
        <v>23</v>
      </c>
      <c r="B48" s="11" t="s">
        <v>134</v>
      </c>
      <c r="C48" s="12" t="s">
        <v>135</v>
      </c>
      <c r="D48" s="53"/>
      <c r="E48" s="39" t="str">
        <f>HYPERLINK("https://www.google.ru/search?q=1373882-477&amp;newwindow=1&amp;tbm=isch","Еще фото")</f>
        <v>Еще фото</v>
      </c>
      <c r="F48" s="13" t="s">
        <v>98</v>
      </c>
      <c r="G48" s="11" t="s">
        <v>28</v>
      </c>
      <c r="H48" s="11" t="s">
        <v>27</v>
      </c>
      <c r="I48" s="14" t="s">
        <v>28</v>
      </c>
      <c r="J48" s="14" t="s">
        <v>47</v>
      </c>
      <c r="K48" s="15" t="s">
        <v>30</v>
      </c>
      <c r="L48" s="56" t="s">
        <v>136</v>
      </c>
      <c r="M48" s="14"/>
      <c r="N48" s="14" t="s">
        <v>50</v>
      </c>
      <c r="O48" s="14"/>
      <c r="P48" s="15" t="s">
        <v>113</v>
      </c>
      <c r="Q48" s="16">
        <v>6299</v>
      </c>
      <c r="R48" s="17">
        <v>49.71</v>
      </c>
      <c r="S48" s="18">
        <v>3642.9354999999996</v>
      </c>
      <c r="T48" s="19" t="s">
        <v>36</v>
      </c>
      <c r="U48" s="20" t="s">
        <v>41</v>
      </c>
      <c r="V48" s="21" t="s">
        <v>42</v>
      </c>
      <c r="W48" s="22">
        <v>4</v>
      </c>
      <c r="X48" s="23"/>
    </row>
    <row r="49" spans="1:24" s="1" customFormat="1" ht="35.1" customHeight="1" x14ac:dyDescent="0.3">
      <c r="A49" s="24" t="s">
        <v>23</v>
      </c>
      <c r="B49" s="24" t="s">
        <v>134</v>
      </c>
      <c r="C49" s="12" t="s">
        <v>135</v>
      </c>
      <c r="D49" s="54"/>
      <c r="E49" s="39" t="str">
        <f>HYPERLINK("https://www.google.ru/search?q=1373882-477&amp;newwindow=1&amp;tbm=isch","Еще фото")</f>
        <v>Еще фото</v>
      </c>
      <c r="F49" s="13" t="s">
        <v>98</v>
      </c>
      <c r="G49" s="24" t="s">
        <v>28</v>
      </c>
      <c r="H49" s="24" t="s">
        <v>27</v>
      </c>
      <c r="I49" s="24" t="s">
        <v>28</v>
      </c>
      <c r="J49" s="14" t="s">
        <v>47</v>
      </c>
      <c r="K49" s="15" t="s">
        <v>30</v>
      </c>
      <c r="L49" s="57"/>
      <c r="M49" s="14"/>
      <c r="N49" s="14" t="s">
        <v>50</v>
      </c>
      <c r="O49" s="14"/>
      <c r="P49" s="15" t="s">
        <v>113</v>
      </c>
      <c r="Q49" s="16">
        <v>6299</v>
      </c>
      <c r="R49" s="17">
        <v>49.71</v>
      </c>
      <c r="S49" s="18">
        <v>3642.9354999999996</v>
      </c>
      <c r="T49" s="19" t="s">
        <v>36</v>
      </c>
      <c r="U49" s="20" t="s">
        <v>43</v>
      </c>
      <c r="V49" s="21" t="s">
        <v>44</v>
      </c>
      <c r="W49" s="22">
        <v>2</v>
      </c>
      <c r="X49" s="23"/>
    </row>
    <row r="50" spans="1:24" s="1" customFormat="1" ht="36.950000000000003" customHeight="1" x14ac:dyDescent="0.3">
      <c r="A50" s="24" t="s">
        <v>23</v>
      </c>
      <c r="B50" s="24" t="s">
        <v>134</v>
      </c>
      <c r="C50" s="12" t="s">
        <v>135</v>
      </c>
      <c r="D50" s="55"/>
      <c r="E50" s="39" t="str">
        <f>HYPERLINK("https://www.google.ru/search?q=1373882-477&amp;newwindow=1&amp;tbm=isch","Еще фото")</f>
        <v>Еще фото</v>
      </c>
      <c r="F50" s="13" t="s">
        <v>98</v>
      </c>
      <c r="G50" s="24" t="s">
        <v>28</v>
      </c>
      <c r="H50" s="24" t="s">
        <v>27</v>
      </c>
      <c r="I50" s="24" t="s">
        <v>28</v>
      </c>
      <c r="J50" s="14" t="s">
        <v>47</v>
      </c>
      <c r="K50" s="15" t="s">
        <v>30</v>
      </c>
      <c r="L50" s="58"/>
      <c r="M50" s="14"/>
      <c r="N50" s="14" t="s">
        <v>50</v>
      </c>
      <c r="O50" s="14"/>
      <c r="P50" s="15" t="s">
        <v>113</v>
      </c>
      <c r="Q50" s="16">
        <v>6299</v>
      </c>
      <c r="R50" s="17">
        <v>49.71</v>
      </c>
      <c r="S50" s="18">
        <v>3642.9354999999996</v>
      </c>
      <c r="T50" s="19" t="s">
        <v>36</v>
      </c>
      <c r="U50" s="20" t="s">
        <v>104</v>
      </c>
      <c r="V50" s="21" t="s">
        <v>105</v>
      </c>
      <c r="W50" s="22">
        <v>1</v>
      </c>
      <c r="X50" s="23"/>
    </row>
    <row r="51" spans="1:24" s="1" customFormat="1" ht="21" customHeight="1" x14ac:dyDescent="0.3">
      <c r="A51" s="11" t="s">
        <v>23</v>
      </c>
      <c r="B51" s="11" t="s">
        <v>137</v>
      </c>
      <c r="C51" s="26" t="s">
        <v>138</v>
      </c>
      <c r="D51" s="53"/>
      <c r="E51" s="39" t="str">
        <f>HYPERLINK("https://www.google.ru/search?q=6012636-690&amp;newwindow=1&amp;tbm=isch","Еще фото")</f>
        <v>Еще фото</v>
      </c>
      <c r="F51" s="13"/>
      <c r="G51" s="11" t="s">
        <v>63</v>
      </c>
      <c r="H51" s="11" t="s">
        <v>27</v>
      </c>
      <c r="I51" s="14" t="s">
        <v>28</v>
      </c>
      <c r="J51" s="14" t="s">
        <v>29</v>
      </c>
      <c r="K51" s="15" t="s">
        <v>54</v>
      </c>
      <c r="L51" s="56" t="s">
        <v>139</v>
      </c>
      <c r="M51" s="14"/>
      <c r="N51" s="14" t="s">
        <v>140</v>
      </c>
      <c r="O51" s="14"/>
      <c r="P51" s="15" t="s">
        <v>141</v>
      </c>
      <c r="Q51" s="16">
        <v>4799</v>
      </c>
      <c r="R51" s="17">
        <v>49.62</v>
      </c>
      <c r="S51" s="18">
        <v>2780.4354999999996</v>
      </c>
      <c r="T51" s="19" t="s">
        <v>36</v>
      </c>
      <c r="U51" s="20" t="s">
        <v>114</v>
      </c>
      <c r="V51" s="21" t="s">
        <v>115</v>
      </c>
      <c r="W51" s="22">
        <v>4</v>
      </c>
      <c r="X51" s="23"/>
    </row>
    <row r="52" spans="1:24" s="1" customFormat="1" ht="21" customHeight="1" x14ac:dyDescent="0.3">
      <c r="A52" s="24" t="s">
        <v>23</v>
      </c>
      <c r="B52" s="24" t="s">
        <v>137</v>
      </c>
      <c r="C52" s="27" t="s">
        <v>138</v>
      </c>
      <c r="D52" s="54"/>
      <c r="E52" s="39" t="str">
        <f>HYPERLINK("https://www.google.ru/search?q=6012636-690&amp;newwindow=1&amp;tbm=isch","Еще фото")</f>
        <v>Еще фото</v>
      </c>
      <c r="F52" s="13"/>
      <c r="G52" s="24" t="s">
        <v>63</v>
      </c>
      <c r="H52" s="24" t="s">
        <v>27</v>
      </c>
      <c r="I52" s="24" t="s">
        <v>28</v>
      </c>
      <c r="J52" s="14" t="s">
        <v>29</v>
      </c>
      <c r="K52" s="15" t="s">
        <v>54</v>
      </c>
      <c r="L52" s="57"/>
      <c r="M52" s="14"/>
      <c r="N52" s="14" t="s">
        <v>140</v>
      </c>
      <c r="O52" s="14"/>
      <c r="P52" s="15" t="s">
        <v>141</v>
      </c>
      <c r="Q52" s="16">
        <v>4799</v>
      </c>
      <c r="R52" s="17">
        <v>49.62</v>
      </c>
      <c r="S52" s="18">
        <v>2780.4354999999996</v>
      </c>
      <c r="T52" s="19" t="s">
        <v>36</v>
      </c>
      <c r="U52" s="20" t="s">
        <v>126</v>
      </c>
      <c r="V52" s="21" t="s">
        <v>127</v>
      </c>
      <c r="W52" s="22">
        <v>4</v>
      </c>
      <c r="X52" s="23"/>
    </row>
    <row r="53" spans="1:24" s="1" customFormat="1" ht="21" customHeight="1" x14ac:dyDescent="0.3">
      <c r="A53" s="24" t="s">
        <v>23</v>
      </c>
      <c r="B53" s="24" t="s">
        <v>137</v>
      </c>
      <c r="C53" s="27" t="s">
        <v>138</v>
      </c>
      <c r="D53" s="54"/>
      <c r="E53" s="39" t="str">
        <f>HYPERLINK("https://www.google.ru/search?q=6012636-690&amp;newwindow=1&amp;tbm=isch","Еще фото")</f>
        <v>Еще фото</v>
      </c>
      <c r="F53" s="13"/>
      <c r="G53" s="24" t="s">
        <v>63</v>
      </c>
      <c r="H53" s="24" t="s">
        <v>27</v>
      </c>
      <c r="I53" s="24" t="s">
        <v>28</v>
      </c>
      <c r="J53" s="14" t="s">
        <v>29</v>
      </c>
      <c r="K53" s="15" t="s">
        <v>54</v>
      </c>
      <c r="L53" s="57"/>
      <c r="M53" s="14"/>
      <c r="N53" s="14" t="s">
        <v>140</v>
      </c>
      <c r="O53" s="14"/>
      <c r="P53" s="15" t="s">
        <v>141</v>
      </c>
      <c r="Q53" s="16">
        <v>4799</v>
      </c>
      <c r="R53" s="17">
        <v>49.62</v>
      </c>
      <c r="S53" s="18">
        <v>2780.4354999999996</v>
      </c>
      <c r="T53" s="19" t="s">
        <v>36</v>
      </c>
      <c r="U53" s="20" t="s">
        <v>128</v>
      </c>
      <c r="V53" s="21" t="s">
        <v>129</v>
      </c>
      <c r="W53" s="22">
        <v>3</v>
      </c>
      <c r="X53" s="23"/>
    </row>
    <row r="54" spans="1:24" s="1" customFormat="1" ht="21" customHeight="1" x14ac:dyDescent="0.3">
      <c r="A54" s="24" t="s">
        <v>23</v>
      </c>
      <c r="B54" s="24" t="s">
        <v>137</v>
      </c>
      <c r="C54" s="27" t="s">
        <v>138</v>
      </c>
      <c r="D54" s="54"/>
      <c r="E54" s="39" t="str">
        <f>HYPERLINK("https://www.google.ru/search?q=6012636-690&amp;newwindow=1&amp;tbm=isch","Еще фото")</f>
        <v>Еще фото</v>
      </c>
      <c r="F54" s="13"/>
      <c r="G54" s="24" t="s">
        <v>63</v>
      </c>
      <c r="H54" s="24" t="s">
        <v>27</v>
      </c>
      <c r="I54" s="24" t="s">
        <v>28</v>
      </c>
      <c r="J54" s="14" t="s">
        <v>29</v>
      </c>
      <c r="K54" s="15" t="s">
        <v>54</v>
      </c>
      <c r="L54" s="57"/>
      <c r="M54" s="14"/>
      <c r="N54" s="14" t="s">
        <v>140</v>
      </c>
      <c r="O54" s="14"/>
      <c r="P54" s="15" t="s">
        <v>141</v>
      </c>
      <c r="Q54" s="16">
        <v>4799</v>
      </c>
      <c r="R54" s="17">
        <v>49.62</v>
      </c>
      <c r="S54" s="18">
        <v>2780.4354999999996</v>
      </c>
      <c r="T54" s="19" t="s">
        <v>36</v>
      </c>
      <c r="U54" s="20" t="s">
        <v>59</v>
      </c>
      <c r="V54" s="21" t="s">
        <v>60</v>
      </c>
      <c r="W54" s="22">
        <v>12</v>
      </c>
      <c r="X54" s="23"/>
    </row>
    <row r="55" spans="1:24" s="1" customFormat="1" ht="32.1" customHeight="1" x14ac:dyDescent="0.3">
      <c r="A55" s="24" t="s">
        <v>23</v>
      </c>
      <c r="B55" s="24" t="s">
        <v>137</v>
      </c>
      <c r="C55" s="27" t="s">
        <v>138</v>
      </c>
      <c r="D55" s="55"/>
      <c r="E55" s="39" t="str">
        <f>HYPERLINK("https://www.google.ru/search?q=6012636-690&amp;newwindow=1&amp;tbm=isch","Еще фото")</f>
        <v>Еще фото</v>
      </c>
      <c r="F55" s="13"/>
      <c r="G55" s="24" t="s">
        <v>63</v>
      </c>
      <c r="H55" s="24" t="s">
        <v>27</v>
      </c>
      <c r="I55" s="24" t="s">
        <v>28</v>
      </c>
      <c r="J55" s="14" t="s">
        <v>29</v>
      </c>
      <c r="K55" s="15" t="s">
        <v>54</v>
      </c>
      <c r="L55" s="58"/>
      <c r="M55" s="14"/>
      <c r="N55" s="14" t="s">
        <v>140</v>
      </c>
      <c r="O55" s="14"/>
      <c r="P55" s="15" t="s">
        <v>141</v>
      </c>
      <c r="Q55" s="16">
        <v>4799</v>
      </c>
      <c r="R55" s="17">
        <v>49.62</v>
      </c>
      <c r="S55" s="18">
        <v>2780.4354999999996</v>
      </c>
      <c r="T55" s="19" t="s">
        <v>36</v>
      </c>
      <c r="U55" s="20" t="s">
        <v>130</v>
      </c>
      <c r="V55" s="21" t="s">
        <v>131</v>
      </c>
      <c r="W55" s="22">
        <v>6</v>
      </c>
      <c r="X55" s="23"/>
    </row>
    <row r="56" spans="1:24" s="1" customFormat="1" ht="108" customHeight="1" x14ac:dyDescent="0.3">
      <c r="A56" s="11" t="s">
        <v>23</v>
      </c>
      <c r="B56" s="11" t="s">
        <v>142</v>
      </c>
      <c r="C56" s="12" t="s">
        <v>143</v>
      </c>
      <c r="D56" s="25"/>
      <c r="E56" s="39" t="str">
        <f>HYPERLINK("https://www.google.ru/search?q=1318074-100&amp;newwindow=1&amp;tbm=isch","Еще фото")</f>
        <v>Еще фото</v>
      </c>
      <c r="F56" s="13"/>
      <c r="G56" s="11" t="s">
        <v>28</v>
      </c>
      <c r="H56" s="11" t="s">
        <v>27</v>
      </c>
      <c r="I56" s="14" t="s">
        <v>28</v>
      </c>
      <c r="J56" s="14" t="s">
        <v>29</v>
      </c>
      <c r="K56" s="15" t="s">
        <v>64</v>
      </c>
      <c r="L56" s="14" t="s">
        <v>144</v>
      </c>
      <c r="M56" s="14" t="s">
        <v>49</v>
      </c>
      <c r="N56" s="14" t="s">
        <v>74</v>
      </c>
      <c r="O56" s="14" t="s">
        <v>34</v>
      </c>
      <c r="P56" s="15" t="s">
        <v>145</v>
      </c>
      <c r="Q56" s="16">
        <v>8790</v>
      </c>
      <c r="R56" s="17">
        <v>49.17</v>
      </c>
      <c r="S56" s="18">
        <v>5137.9355000000005</v>
      </c>
      <c r="T56" s="19" t="s">
        <v>36</v>
      </c>
      <c r="U56" s="20" t="s">
        <v>43</v>
      </c>
      <c r="V56" s="21" t="s">
        <v>42</v>
      </c>
      <c r="W56" s="22">
        <v>2</v>
      </c>
      <c r="X56" s="23"/>
    </row>
    <row r="57" spans="1:24" s="1" customFormat="1" ht="108" customHeight="1" x14ac:dyDescent="0.3">
      <c r="A57" s="11" t="s">
        <v>23</v>
      </c>
      <c r="B57" s="11" t="s">
        <v>146</v>
      </c>
      <c r="C57" s="12" t="s">
        <v>147</v>
      </c>
      <c r="D57" s="25"/>
      <c r="E57" s="39" t="str">
        <f>HYPERLINK("https://www.google.ru/search?q=1386558-308&amp;newwindow=1&amp;tbm=isch","Еще фото")</f>
        <v>Еще фото</v>
      </c>
      <c r="F57" s="13"/>
      <c r="G57" s="11" t="s">
        <v>28</v>
      </c>
      <c r="H57" s="11" t="s">
        <v>27</v>
      </c>
      <c r="I57" s="14" t="s">
        <v>28</v>
      </c>
      <c r="J57" s="14" t="s">
        <v>47</v>
      </c>
      <c r="K57" s="15" t="s">
        <v>30</v>
      </c>
      <c r="L57" s="14" t="s">
        <v>148</v>
      </c>
      <c r="M57" s="14" t="s">
        <v>32</v>
      </c>
      <c r="N57" s="14" t="s">
        <v>125</v>
      </c>
      <c r="O57" s="14"/>
      <c r="P57" s="15" t="s">
        <v>100</v>
      </c>
      <c r="Q57" s="16">
        <v>8699</v>
      </c>
      <c r="R57" s="17">
        <v>48.87</v>
      </c>
      <c r="S57" s="18">
        <v>5114.9355000000005</v>
      </c>
      <c r="T57" s="19" t="s">
        <v>36</v>
      </c>
      <c r="U57" s="20" t="s">
        <v>37</v>
      </c>
      <c r="V57" s="21" t="s">
        <v>38</v>
      </c>
      <c r="W57" s="22">
        <v>6</v>
      </c>
      <c r="X57" s="23"/>
    </row>
    <row r="58" spans="1:24" s="1" customFormat="1" ht="26.1" customHeight="1" x14ac:dyDescent="0.3">
      <c r="A58" s="11" t="s">
        <v>23</v>
      </c>
      <c r="B58" s="11" t="s">
        <v>149</v>
      </c>
      <c r="C58" s="12" t="s">
        <v>150</v>
      </c>
      <c r="D58" s="53"/>
      <c r="E58" s="39" t="str">
        <f>HYPERLINK("https://www.google.ru/search?q=1379846-348&amp;newwindow=1&amp;tbm=isch","Еще фото")</f>
        <v>Еще фото</v>
      </c>
      <c r="F58" s="13"/>
      <c r="G58" s="11" t="s">
        <v>28</v>
      </c>
      <c r="H58" s="11" t="s">
        <v>27</v>
      </c>
      <c r="I58" s="14" t="s">
        <v>28</v>
      </c>
      <c r="J58" s="14" t="s">
        <v>47</v>
      </c>
      <c r="K58" s="15" t="s">
        <v>64</v>
      </c>
      <c r="L58" s="56" t="s">
        <v>151</v>
      </c>
      <c r="M58" s="14"/>
      <c r="N58" s="14" t="s">
        <v>125</v>
      </c>
      <c r="O58" s="14"/>
      <c r="P58" s="15" t="s">
        <v>152</v>
      </c>
      <c r="Q58" s="16">
        <v>11099</v>
      </c>
      <c r="R58" s="17">
        <v>48.84</v>
      </c>
      <c r="S58" s="18">
        <v>6529.4354999999996</v>
      </c>
      <c r="T58" s="19" t="s">
        <v>36</v>
      </c>
      <c r="U58" s="20" t="s">
        <v>69</v>
      </c>
      <c r="V58" s="21" t="s">
        <v>70</v>
      </c>
      <c r="W58" s="22">
        <v>10</v>
      </c>
      <c r="X58" s="23"/>
    </row>
    <row r="59" spans="1:24" s="1" customFormat="1" ht="26.1" customHeight="1" x14ac:dyDescent="0.3">
      <c r="A59" s="24" t="s">
        <v>23</v>
      </c>
      <c r="B59" s="24" t="s">
        <v>149</v>
      </c>
      <c r="C59" s="12" t="s">
        <v>150</v>
      </c>
      <c r="D59" s="54"/>
      <c r="E59" s="39" t="str">
        <f>HYPERLINK("https://www.google.ru/search?q=1379846-348&amp;newwindow=1&amp;tbm=isch","Еще фото")</f>
        <v>Еще фото</v>
      </c>
      <c r="F59" s="13"/>
      <c r="G59" s="24" t="s">
        <v>28</v>
      </c>
      <c r="H59" s="24" t="s">
        <v>27</v>
      </c>
      <c r="I59" s="24" t="s">
        <v>28</v>
      </c>
      <c r="J59" s="14" t="s">
        <v>47</v>
      </c>
      <c r="K59" s="15" t="s">
        <v>64</v>
      </c>
      <c r="L59" s="57"/>
      <c r="M59" s="14"/>
      <c r="N59" s="14" t="s">
        <v>125</v>
      </c>
      <c r="O59" s="14"/>
      <c r="P59" s="15" t="s">
        <v>152</v>
      </c>
      <c r="Q59" s="16">
        <v>11099</v>
      </c>
      <c r="R59" s="17">
        <v>48.84</v>
      </c>
      <c r="S59" s="18">
        <v>6529.4354999999996</v>
      </c>
      <c r="T59" s="19" t="s">
        <v>36</v>
      </c>
      <c r="U59" s="20" t="s">
        <v>37</v>
      </c>
      <c r="V59" s="21" t="s">
        <v>86</v>
      </c>
      <c r="W59" s="22">
        <v>6</v>
      </c>
      <c r="X59" s="23"/>
    </row>
    <row r="60" spans="1:24" s="1" customFormat="1" ht="26.1" customHeight="1" x14ac:dyDescent="0.3">
      <c r="A60" s="24" t="s">
        <v>23</v>
      </c>
      <c r="B60" s="24" t="s">
        <v>149</v>
      </c>
      <c r="C60" s="12" t="s">
        <v>150</v>
      </c>
      <c r="D60" s="54"/>
      <c r="E60" s="39" t="str">
        <f>HYPERLINK("https://www.google.ru/search?q=1379846-348&amp;newwindow=1&amp;tbm=isch","Еще фото")</f>
        <v>Еще фото</v>
      </c>
      <c r="F60" s="13"/>
      <c r="G60" s="24" t="s">
        <v>28</v>
      </c>
      <c r="H60" s="24" t="s">
        <v>27</v>
      </c>
      <c r="I60" s="24" t="s">
        <v>28</v>
      </c>
      <c r="J60" s="14" t="s">
        <v>47</v>
      </c>
      <c r="K60" s="15" t="s">
        <v>64</v>
      </c>
      <c r="L60" s="57"/>
      <c r="M60" s="14"/>
      <c r="N60" s="14" t="s">
        <v>125</v>
      </c>
      <c r="O60" s="14"/>
      <c r="P60" s="15" t="s">
        <v>152</v>
      </c>
      <c r="Q60" s="16">
        <v>11099</v>
      </c>
      <c r="R60" s="17">
        <v>48.84</v>
      </c>
      <c r="S60" s="18">
        <v>6529.4354999999996</v>
      </c>
      <c r="T60" s="19" t="s">
        <v>36</v>
      </c>
      <c r="U60" s="20" t="s">
        <v>39</v>
      </c>
      <c r="V60" s="21" t="s">
        <v>38</v>
      </c>
      <c r="W60" s="22">
        <v>4</v>
      </c>
      <c r="X60" s="23"/>
    </row>
    <row r="61" spans="1:24" s="1" customFormat="1" ht="26.1" customHeight="1" x14ac:dyDescent="0.3">
      <c r="A61" s="24" t="s">
        <v>23</v>
      </c>
      <c r="B61" s="24" t="s">
        <v>149</v>
      </c>
      <c r="C61" s="12" t="s">
        <v>150</v>
      </c>
      <c r="D61" s="55"/>
      <c r="E61" s="39" t="str">
        <f>HYPERLINK("https://www.google.ru/search?q=1379846-348&amp;newwindow=1&amp;tbm=isch","Еще фото")</f>
        <v>Еще фото</v>
      </c>
      <c r="F61" s="13"/>
      <c r="G61" s="24" t="s">
        <v>28</v>
      </c>
      <c r="H61" s="24" t="s">
        <v>27</v>
      </c>
      <c r="I61" s="24" t="s">
        <v>28</v>
      </c>
      <c r="J61" s="14" t="s">
        <v>47</v>
      </c>
      <c r="K61" s="15" t="s">
        <v>64</v>
      </c>
      <c r="L61" s="58"/>
      <c r="M61" s="14"/>
      <c r="N61" s="14" t="s">
        <v>125</v>
      </c>
      <c r="O61" s="14"/>
      <c r="P61" s="15" t="s">
        <v>152</v>
      </c>
      <c r="Q61" s="16">
        <v>11099</v>
      </c>
      <c r="R61" s="17">
        <v>48.84</v>
      </c>
      <c r="S61" s="18">
        <v>6529.4354999999996</v>
      </c>
      <c r="T61" s="19" t="s">
        <v>36</v>
      </c>
      <c r="U61" s="20" t="s">
        <v>43</v>
      </c>
      <c r="V61" s="21" t="s">
        <v>42</v>
      </c>
      <c r="W61" s="22">
        <v>1</v>
      </c>
      <c r="X61" s="23"/>
    </row>
    <row r="62" spans="1:24" s="1" customFormat="1" ht="26.1" customHeight="1" x14ac:dyDescent="0.3">
      <c r="A62" s="11" t="s">
        <v>23</v>
      </c>
      <c r="B62" s="11" t="s">
        <v>153</v>
      </c>
      <c r="C62" s="12" t="s">
        <v>154</v>
      </c>
      <c r="D62" s="53"/>
      <c r="E62" s="39" t="str">
        <f>HYPERLINK("https://www.google.ru/search?q=1386899-273&amp;newwindow=1&amp;tbm=isch","Еще фото")</f>
        <v>Еще фото</v>
      </c>
      <c r="F62" s="13"/>
      <c r="G62" s="11" t="s">
        <v>28</v>
      </c>
      <c r="H62" s="11" t="s">
        <v>27</v>
      </c>
      <c r="I62" s="14" t="s">
        <v>28</v>
      </c>
      <c r="J62" s="14" t="s">
        <v>29</v>
      </c>
      <c r="K62" s="15" t="s">
        <v>30</v>
      </c>
      <c r="L62" s="56" t="s">
        <v>155</v>
      </c>
      <c r="M62" s="14"/>
      <c r="N62" s="14" t="s">
        <v>74</v>
      </c>
      <c r="O62" s="14"/>
      <c r="P62" s="15" t="s">
        <v>156</v>
      </c>
      <c r="Q62" s="16">
        <v>19399</v>
      </c>
      <c r="R62" s="17">
        <v>48.82</v>
      </c>
      <c r="S62" s="18">
        <v>11416.9355</v>
      </c>
      <c r="T62" s="19" t="s">
        <v>36</v>
      </c>
      <c r="U62" s="20" t="s">
        <v>37</v>
      </c>
      <c r="V62" s="21" t="s">
        <v>38</v>
      </c>
      <c r="W62" s="22">
        <v>4</v>
      </c>
      <c r="X62" s="23"/>
    </row>
    <row r="63" spans="1:24" s="1" customFormat="1" ht="26.1" customHeight="1" x14ac:dyDescent="0.3">
      <c r="A63" s="24" t="s">
        <v>23</v>
      </c>
      <c r="B63" s="24" t="s">
        <v>153</v>
      </c>
      <c r="C63" s="12" t="s">
        <v>154</v>
      </c>
      <c r="D63" s="54"/>
      <c r="E63" s="39" t="str">
        <f>HYPERLINK("https://www.google.ru/search?q=1386899-273&amp;newwindow=1&amp;tbm=isch","Еще фото")</f>
        <v>Еще фото</v>
      </c>
      <c r="F63" s="13"/>
      <c r="G63" s="24" t="s">
        <v>28</v>
      </c>
      <c r="H63" s="24" t="s">
        <v>27</v>
      </c>
      <c r="I63" s="24" t="s">
        <v>28</v>
      </c>
      <c r="J63" s="14" t="s">
        <v>29</v>
      </c>
      <c r="K63" s="15" t="s">
        <v>30</v>
      </c>
      <c r="L63" s="57"/>
      <c r="M63" s="14"/>
      <c r="N63" s="14" t="s">
        <v>74</v>
      </c>
      <c r="O63" s="14"/>
      <c r="P63" s="15" t="s">
        <v>156</v>
      </c>
      <c r="Q63" s="16">
        <v>19399</v>
      </c>
      <c r="R63" s="17">
        <v>48.82</v>
      </c>
      <c r="S63" s="18">
        <v>11416.9355</v>
      </c>
      <c r="T63" s="19" t="s">
        <v>36</v>
      </c>
      <c r="U63" s="20" t="s">
        <v>39</v>
      </c>
      <c r="V63" s="21" t="s">
        <v>40</v>
      </c>
      <c r="W63" s="22">
        <v>5</v>
      </c>
      <c r="X63" s="23"/>
    </row>
    <row r="64" spans="1:24" s="1" customFormat="1" ht="26.1" customHeight="1" x14ac:dyDescent="0.3">
      <c r="A64" s="24" t="s">
        <v>23</v>
      </c>
      <c r="B64" s="24" t="s">
        <v>153</v>
      </c>
      <c r="C64" s="12" t="s">
        <v>154</v>
      </c>
      <c r="D64" s="54"/>
      <c r="E64" s="39" t="str">
        <f>HYPERLINK("https://www.google.ru/search?q=1386899-273&amp;newwindow=1&amp;tbm=isch","Еще фото")</f>
        <v>Еще фото</v>
      </c>
      <c r="F64" s="13"/>
      <c r="G64" s="24" t="s">
        <v>28</v>
      </c>
      <c r="H64" s="24" t="s">
        <v>27</v>
      </c>
      <c r="I64" s="24" t="s">
        <v>28</v>
      </c>
      <c r="J64" s="14" t="s">
        <v>29</v>
      </c>
      <c r="K64" s="15" t="s">
        <v>30</v>
      </c>
      <c r="L64" s="57"/>
      <c r="M64" s="14"/>
      <c r="N64" s="14" t="s">
        <v>74</v>
      </c>
      <c r="O64" s="14"/>
      <c r="P64" s="15" t="s">
        <v>156</v>
      </c>
      <c r="Q64" s="16">
        <v>19399</v>
      </c>
      <c r="R64" s="17">
        <v>48.82</v>
      </c>
      <c r="S64" s="18">
        <v>11416.9355</v>
      </c>
      <c r="T64" s="19" t="s">
        <v>36</v>
      </c>
      <c r="U64" s="20" t="s">
        <v>41</v>
      </c>
      <c r="V64" s="21" t="s">
        <v>42</v>
      </c>
      <c r="W64" s="22">
        <v>1</v>
      </c>
      <c r="X64" s="23"/>
    </row>
    <row r="65" spans="1:24" s="1" customFormat="1" ht="26.1" customHeight="1" x14ac:dyDescent="0.3">
      <c r="A65" s="24" t="s">
        <v>23</v>
      </c>
      <c r="B65" s="24" t="s">
        <v>153</v>
      </c>
      <c r="C65" s="12" t="s">
        <v>154</v>
      </c>
      <c r="D65" s="55"/>
      <c r="E65" s="39" t="str">
        <f>HYPERLINK("https://www.google.ru/search?q=1386899-273&amp;newwindow=1&amp;tbm=isch","Еще фото")</f>
        <v>Еще фото</v>
      </c>
      <c r="F65" s="13"/>
      <c r="G65" s="24" t="s">
        <v>28</v>
      </c>
      <c r="H65" s="24" t="s">
        <v>27</v>
      </c>
      <c r="I65" s="24" t="s">
        <v>28</v>
      </c>
      <c r="J65" s="14" t="s">
        <v>29</v>
      </c>
      <c r="K65" s="15" t="s">
        <v>30</v>
      </c>
      <c r="L65" s="58"/>
      <c r="M65" s="14"/>
      <c r="N65" s="14" t="s">
        <v>74</v>
      </c>
      <c r="O65" s="14"/>
      <c r="P65" s="15" t="s">
        <v>156</v>
      </c>
      <c r="Q65" s="16">
        <v>19399</v>
      </c>
      <c r="R65" s="17">
        <v>48.82</v>
      </c>
      <c r="S65" s="18">
        <v>11416.9355</v>
      </c>
      <c r="T65" s="19" t="s">
        <v>36</v>
      </c>
      <c r="U65" s="20" t="s">
        <v>43</v>
      </c>
      <c r="V65" s="21" t="s">
        <v>44</v>
      </c>
      <c r="W65" s="22">
        <v>3</v>
      </c>
      <c r="X65" s="23"/>
    </row>
    <row r="66" spans="1:24" s="1" customFormat="1" ht="35.1" customHeight="1" x14ac:dyDescent="0.3">
      <c r="A66" s="11" t="s">
        <v>23</v>
      </c>
      <c r="B66" s="11" t="s">
        <v>157</v>
      </c>
      <c r="C66" s="12" t="s">
        <v>158</v>
      </c>
      <c r="D66" s="53"/>
      <c r="E66" s="39" t="str">
        <f>HYPERLINK("https://www.google.ru/search?q=1380843-112&amp;newwindow=1&amp;tbm=isch","Еще фото")</f>
        <v>Еще фото</v>
      </c>
      <c r="F66" s="13"/>
      <c r="G66" s="11" t="s">
        <v>28</v>
      </c>
      <c r="H66" s="11" t="s">
        <v>27</v>
      </c>
      <c r="I66" s="14" t="s">
        <v>28</v>
      </c>
      <c r="J66" s="14" t="s">
        <v>29</v>
      </c>
      <c r="K66" s="15" t="s">
        <v>30</v>
      </c>
      <c r="L66" s="56" t="s">
        <v>159</v>
      </c>
      <c r="M66" s="14"/>
      <c r="N66" s="14" t="s">
        <v>84</v>
      </c>
      <c r="O66" s="14"/>
      <c r="P66" s="15" t="s">
        <v>113</v>
      </c>
      <c r="Q66" s="16">
        <v>6599</v>
      </c>
      <c r="R66" s="17">
        <v>48.81</v>
      </c>
      <c r="S66" s="18">
        <v>3884.4354999999996</v>
      </c>
      <c r="T66" s="19" t="s">
        <v>36</v>
      </c>
      <c r="U66" s="20" t="s">
        <v>37</v>
      </c>
      <c r="V66" s="21" t="s">
        <v>38</v>
      </c>
      <c r="W66" s="22">
        <v>13</v>
      </c>
      <c r="X66" s="23"/>
    </row>
    <row r="67" spans="1:24" s="1" customFormat="1" ht="35.1" customHeight="1" x14ac:dyDescent="0.3">
      <c r="A67" s="24" t="s">
        <v>23</v>
      </c>
      <c r="B67" s="24" t="s">
        <v>157</v>
      </c>
      <c r="C67" s="12" t="s">
        <v>158</v>
      </c>
      <c r="D67" s="54"/>
      <c r="E67" s="39" t="str">
        <f>HYPERLINK("https://www.google.ru/search?q=1380843-112&amp;newwindow=1&amp;tbm=isch","Еще фото")</f>
        <v>Еще фото</v>
      </c>
      <c r="F67" s="13"/>
      <c r="G67" s="24" t="s">
        <v>28</v>
      </c>
      <c r="H67" s="24" t="s">
        <v>27</v>
      </c>
      <c r="I67" s="24" t="s">
        <v>28</v>
      </c>
      <c r="J67" s="14" t="s">
        <v>29</v>
      </c>
      <c r="K67" s="15" t="s">
        <v>30</v>
      </c>
      <c r="L67" s="57"/>
      <c r="M67" s="14"/>
      <c r="N67" s="14" t="s">
        <v>84</v>
      </c>
      <c r="O67" s="14"/>
      <c r="P67" s="15" t="s">
        <v>113</v>
      </c>
      <c r="Q67" s="16">
        <v>6599</v>
      </c>
      <c r="R67" s="17">
        <v>48.81</v>
      </c>
      <c r="S67" s="18">
        <v>3884.4354999999996</v>
      </c>
      <c r="T67" s="19" t="s">
        <v>36</v>
      </c>
      <c r="U67" s="20" t="s">
        <v>39</v>
      </c>
      <c r="V67" s="21" t="s">
        <v>40</v>
      </c>
      <c r="W67" s="22">
        <v>5</v>
      </c>
      <c r="X67" s="23"/>
    </row>
    <row r="68" spans="1:24" s="1" customFormat="1" ht="36.950000000000003" customHeight="1" x14ac:dyDescent="0.3">
      <c r="A68" s="24" t="s">
        <v>23</v>
      </c>
      <c r="B68" s="24" t="s">
        <v>157</v>
      </c>
      <c r="C68" s="12" t="s">
        <v>158</v>
      </c>
      <c r="D68" s="55"/>
      <c r="E68" s="39" t="str">
        <f>HYPERLINK("https://www.google.ru/search?q=1380843-112&amp;newwindow=1&amp;tbm=isch","Еще фото")</f>
        <v>Еще фото</v>
      </c>
      <c r="F68" s="13"/>
      <c r="G68" s="24" t="s">
        <v>28</v>
      </c>
      <c r="H68" s="24" t="s">
        <v>27</v>
      </c>
      <c r="I68" s="24" t="s">
        <v>28</v>
      </c>
      <c r="J68" s="14" t="s">
        <v>29</v>
      </c>
      <c r="K68" s="15" t="s">
        <v>30</v>
      </c>
      <c r="L68" s="58"/>
      <c r="M68" s="14"/>
      <c r="N68" s="14" t="s">
        <v>84</v>
      </c>
      <c r="O68" s="14"/>
      <c r="P68" s="15" t="s">
        <v>113</v>
      </c>
      <c r="Q68" s="16">
        <v>6599</v>
      </c>
      <c r="R68" s="17">
        <v>48.81</v>
      </c>
      <c r="S68" s="18">
        <v>3884.4354999999996</v>
      </c>
      <c r="T68" s="19" t="s">
        <v>36</v>
      </c>
      <c r="U68" s="20" t="s">
        <v>41</v>
      </c>
      <c r="V68" s="21" t="s">
        <v>42</v>
      </c>
      <c r="W68" s="22">
        <v>3</v>
      </c>
      <c r="X68" s="23"/>
    </row>
    <row r="69" spans="1:24" s="1" customFormat="1" ht="51.95" customHeight="1" x14ac:dyDescent="0.3">
      <c r="A69" s="11" t="s">
        <v>23</v>
      </c>
      <c r="B69" s="11" t="s">
        <v>160</v>
      </c>
      <c r="C69" s="12" t="s">
        <v>161</v>
      </c>
      <c r="D69" s="59"/>
      <c r="E69" s="39" t="str">
        <f>HYPERLINK("https://www.google.ru/search?q=1389358-391&amp;newwindow=1&amp;tbm=isch","Еще фото")</f>
        <v>Еще фото</v>
      </c>
      <c r="F69" s="13" t="s">
        <v>98</v>
      </c>
      <c r="G69" s="11" t="s">
        <v>28</v>
      </c>
      <c r="H69" s="11" t="s">
        <v>27</v>
      </c>
      <c r="I69" s="14" t="s">
        <v>28</v>
      </c>
      <c r="J69" s="14" t="s">
        <v>47</v>
      </c>
      <c r="K69" s="15" t="s">
        <v>30</v>
      </c>
      <c r="L69" s="56" t="s">
        <v>162</v>
      </c>
      <c r="M69" s="14"/>
      <c r="N69" s="14" t="s">
        <v>125</v>
      </c>
      <c r="O69" s="14"/>
      <c r="P69" s="15" t="s">
        <v>113</v>
      </c>
      <c r="Q69" s="16">
        <v>8199</v>
      </c>
      <c r="R69" s="17">
        <v>48.8</v>
      </c>
      <c r="S69" s="18">
        <v>4827.4355000000005</v>
      </c>
      <c r="T69" s="19" t="s">
        <v>36</v>
      </c>
      <c r="U69" s="20" t="s">
        <v>39</v>
      </c>
      <c r="V69" s="21" t="s">
        <v>40</v>
      </c>
      <c r="W69" s="22">
        <v>4</v>
      </c>
      <c r="X69" s="23"/>
    </row>
    <row r="70" spans="1:24" s="1" customFormat="1" ht="60.95" customHeight="1" x14ac:dyDescent="0.3">
      <c r="A70" s="24" t="s">
        <v>23</v>
      </c>
      <c r="B70" s="24" t="s">
        <v>160</v>
      </c>
      <c r="C70" s="12" t="s">
        <v>161</v>
      </c>
      <c r="D70" s="60"/>
      <c r="E70" s="39" t="str">
        <f>HYPERLINK("https://www.google.ru/search?q=1389358-391&amp;newwindow=1&amp;tbm=isch","Еще фото")</f>
        <v>Еще фото</v>
      </c>
      <c r="F70" s="13" t="s">
        <v>98</v>
      </c>
      <c r="G70" s="24" t="s">
        <v>28</v>
      </c>
      <c r="H70" s="24" t="s">
        <v>27</v>
      </c>
      <c r="I70" s="24" t="s">
        <v>28</v>
      </c>
      <c r="J70" s="14" t="s">
        <v>47</v>
      </c>
      <c r="K70" s="15" t="s">
        <v>30</v>
      </c>
      <c r="L70" s="58"/>
      <c r="M70" s="14"/>
      <c r="N70" s="14" t="s">
        <v>125</v>
      </c>
      <c r="O70" s="14"/>
      <c r="P70" s="15" t="s">
        <v>113</v>
      </c>
      <c r="Q70" s="16">
        <v>8199</v>
      </c>
      <c r="R70" s="17">
        <v>48.8</v>
      </c>
      <c r="S70" s="18">
        <v>4827.4355000000005</v>
      </c>
      <c r="T70" s="19" t="s">
        <v>36</v>
      </c>
      <c r="U70" s="20" t="s">
        <v>41</v>
      </c>
      <c r="V70" s="21" t="s">
        <v>42</v>
      </c>
      <c r="W70" s="22">
        <v>2</v>
      </c>
      <c r="X70" s="23"/>
    </row>
    <row r="71" spans="1:24" s="1" customFormat="1" ht="26.1" customHeight="1" x14ac:dyDescent="0.3">
      <c r="A71" s="11" t="s">
        <v>23</v>
      </c>
      <c r="B71" s="11" t="s">
        <v>163</v>
      </c>
      <c r="C71" s="12" t="s">
        <v>164</v>
      </c>
      <c r="D71" s="53"/>
      <c r="E71" s="39" t="str">
        <f>HYPERLINK("https://www.google.ru/search?q=1373361-013&amp;newwindow=1&amp;tbm=isch","Еще фото")</f>
        <v>Еще фото</v>
      </c>
      <c r="F71" s="13"/>
      <c r="G71" s="11" t="s">
        <v>28</v>
      </c>
      <c r="H71" s="11" t="s">
        <v>27</v>
      </c>
      <c r="I71" s="14" t="s">
        <v>28</v>
      </c>
      <c r="J71" s="14" t="s">
        <v>29</v>
      </c>
      <c r="K71" s="15" t="s">
        <v>30</v>
      </c>
      <c r="L71" s="56" t="s">
        <v>165</v>
      </c>
      <c r="M71" s="14" t="s">
        <v>90</v>
      </c>
      <c r="N71" s="14" t="s">
        <v>166</v>
      </c>
      <c r="O71" s="14"/>
      <c r="P71" s="15" t="s">
        <v>51</v>
      </c>
      <c r="Q71" s="16">
        <v>8999</v>
      </c>
      <c r="R71" s="17">
        <v>48.8</v>
      </c>
      <c r="S71" s="18">
        <v>5298.9355000000005</v>
      </c>
      <c r="T71" s="19" t="s">
        <v>36</v>
      </c>
      <c r="U71" s="20" t="s">
        <v>69</v>
      </c>
      <c r="V71" s="21" t="s">
        <v>75</v>
      </c>
      <c r="W71" s="22">
        <v>2</v>
      </c>
      <c r="X71" s="23"/>
    </row>
    <row r="72" spans="1:24" s="1" customFormat="1" ht="26.1" customHeight="1" x14ac:dyDescent="0.3">
      <c r="A72" s="24" t="s">
        <v>23</v>
      </c>
      <c r="B72" s="24" t="s">
        <v>163</v>
      </c>
      <c r="C72" s="12" t="s">
        <v>164</v>
      </c>
      <c r="D72" s="54"/>
      <c r="E72" s="39" t="str">
        <f>HYPERLINK("https://www.google.ru/search?q=1373361-013&amp;newwindow=1&amp;tbm=isch","Еще фото")</f>
        <v>Еще фото</v>
      </c>
      <c r="F72" s="13"/>
      <c r="G72" s="24" t="s">
        <v>28</v>
      </c>
      <c r="H72" s="24" t="s">
        <v>27</v>
      </c>
      <c r="I72" s="24" t="s">
        <v>28</v>
      </c>
      <c r="J72" s="14" t="s">
        <v>29</v>
      </c>
      <c r="K72" s="15" t="s">
        <v>30</v>
      </c>
      <c r="L72" s="57"/>
      <c r="M72" s="14" t="s">
        <v>90</v>
      </c>
      <c r="N72" s="14" t="s">
        <v>166</v>
      </c>
      <c r="O72" s="14"/>
      <c r="P72" s="15" t="s">
        <v>51</v>
      </c>
      <c r="Q72" s="16">
        <v>8999</v>
      </c>
      <c r="R72" s="17">
        <v>48.8</v>
      </c>
      <c r="S72" s="18">
        <v>5298.9355000000005</v>
      </c>
      <c r="T72" s="19" t="s">
        <v>36</v>
      </c>
      <c r="U72" s="20" t="s">
        <v>37</v>
      </c>
      <c r="V72" s="21" t="s">
        <v>38</v>
      </c>
      <c r="W72" s="22">
        <v>5</v>
      </c>
      <c r="X72" s="23"/>
    </row>
    <row r="73" spans="1:24" s="1" customFormat="1" ht="26.1" customHeight="1" x14ac:dyDescent="0.3">
      <c r="A73" s="24" t="s">
        <v>23</v>
      </c>
      <c r="B73" s="24" t="s">
        <v>163</v>
      </c>
      <c r="C73" s="12" t="s">
        <v>164</v>
      </c>
      <c r="D73" s="54"/>
      <c r="E73" s="39" t="str">
        <f>HYPERLINK("https://www.google.ru/search?q=1373361-013&amp;newwindow=1&amp;tbm=isch","Еще фото")</f>
        <v>Еще фото</v>
      </c>
      <c r="F73" s="13"/>
      <c r="G73" s="24" t="s">
        <v>28</v>
      </c>
      <c r="H73" s="24" t="s">
        <v>27</v>
      </c>
      <c r="I73" s="24" t="s">
        <v>28</v>
      </c>
      <c r="J73" s="14" t="s">
        <v>29</v>
      </c>
      <c r="K73" s="15" t="s">
        <v>30</v>
      </c>
      <c r="L73" s="57"/>
      <c r="M73" s="14" t="s">
        <v>90</v>
      </c>
      <c r="N73" s="14" t="s">
        <v>166</v>
      </c>
      <c r="O73" s="14"/>
      <c r="P73" s="15" t="s">
        <v>51</v>
      </c>
      <c r="Q73" s="16">
        <v>8999</v>
      </c>
      <c r="R73" s="17">
        <v>48.8</v>
      </c>
      <c r="S73" s="18">
        <v>5298.9355000000005</v>
      </c>
      <c r="T73" s="19" t="s">
        <v>36</v>
      </c>
      <c r="U73" s="20" t="s">
        <v>39</v>
      </c>
      <c r="V73" s="21" t="s">
        <v>40</v>
      </c>
      <c r="W73" s="22">
        <v>2</v>
      </c>
      <c r="X73" s="23"/>
    </row>
    <row r="74" spans="1:24" s="1" customFormat="1" ht="26.1" customHeight="1" x14ac:dyDescent="0.3">
      <c r="A74" s="24" t="s">
        <v>23</v>
      </c>
      <c r="B74" s="24" t="s">
        <v>163</v>
      </c>
      <c r="C74" s="12" t="s">
        <v>164</v>
      </c>
      <c r="D74" s="55"/>
      <c r="E74" s="39" t="str">
        <f>HYPERLINK("https://www.google.ru/search?q=1373361-013&amp;newwindow=1&amp;tbm=isch","Еще фото")</f>
        <v>Еще фото</v>
      </c>
      <c r="F74" s="13"/>
      <c r="G74" s="24" t="s">
        <v>28</v>
      </c>
      <c r="H74" s="24" t="s">
        <v>27</v>
      </c>
      <c r="I74" s="24" t="s">
        <v>28</v>
      </c>
      <c r="J74" s="14" t="s">
        <v>29</v>
      </c>
      <c r="K74" s="15" t="s">
        <v>30</v>
      </c>
      <c r="L74" s="58"/>
      <c r="M74" s="14" t="s">
        <v>90</v>
      </c>
      <c r="N74" s="14" t="s">
        <v>166</v>
      </c>
      <c r="O74" s="14"/>
      <c r="P74" s="15" t="s">
        <v>51</v>
      </c>
      <c r="Q74" s="16">
        <v>8999</v>
      </c>
      <c r="R74" s="17">
        <v>48.8</v>
      </c>
      <c r="S74" s="18">
        <v>5298.9355000000005</v>
      </c>
      <c r="T74" s="19" t="s">
        <v>36</v>
      </c>
      <c r="U74" s="20" t="s">
        <v>104</v>
      </c>
      <c r="V74" s="21" t="s">
        <v>105</v>
      </c>
      <c r="W74" s="22">
        <v>1</v>
      </c>
      <c r="X74" s="23"/>
    </row>
    <row r="75" spans="1:24" s="1" customFormat="1" ht="108" customHeight="1" x14ac:dyDescent="0.3">
      <c r="A75" s="11" t="s">
        <v>23</v>
      </c>
      <c r="B75" s="11" t="s">
        <v>52</v>
      </c>
      <c r="C75" s="12" t="s">
        <v>167</v>
      </c>
      <c r="D75" s="25"/>
      <c r="E75" s="39" t="str">
        <f>HYPERLINK("https://www.google.ru/search?q=1356487-036&amp;newwindow=1&amp;tbm=isch","Еще фото")</f>
        <v>Еще фото</v>
      </c>
      <c r="F75" s="13"/>
      <c r="G75" s="11" t="s">
        <v>28</v>
      </c>
      <c r="H75" s="11" t="s">
        <v>27</v>
      </c>
      <c r="I75" s="14" t="s">
        <v>28</v>
      </c>
      <c r="J75" s="14" t="s">
        <v>29</v>
      </c>
      <c r="K75" s="15" t="s">
        <v>54</v>
      </c>
      <c r="L75" s="14" t="s">
        <v>168</v>
      </c>
      <c r="M75" s="14" t="s">
        <v>56</v>
      </c>
      <c r="N75" s="14" t="s">
        <v>84</v>
      </c>
      <c r="O75" s="14" t="s">
        <v>34</v>
      </c>
      <c r="P75" s="15" t="s">
        <v>58</v>
      </c>
      <c r="Q75" s="16">
        <v>3699</v>
      </c>
      <c r="R75" s="17">
        <v>48.7</v>
      </c>
      <c r="S75" s="18">
        <v>2182.4354999999996</v>
      </c>
      <c r="T75" s="19" t="s">
        <v>36</v>
      </c>
      <c r="U75" s="20" t="s">
        <v>130</v>
      </c>
      <c r="V75" s="21" t="s">
        <v>131</v>
      </c>
      <c r="W75" s="22">
        <v>1</v>
      </c>
      <c r="X75" s="23"/>
    </row>
    <row r="76" spans="1:24" s="1" customFormat="1" ht="108" customHeight="1" x14ac:dyDescent="0.3">
      <c r="A76" s="11" t="s">
        <v>23</v>
      </c>
      <c r="B76" s="11" t="s">
        <v>169</v>
      </c>
      <c r="C76" s="12" t="s">
        <v>170</v>
      </c>
      <c r="D76" s="25"/>
      <c r="E76" s="39" t="str">
        <f>HYPERLINK("https://www.google.ru/search?q=1382727-520&amp;newwindow=1&amp;tbm=isch","Еще фото")</f>
        <v>Еще фото</v>
      </c>
      <c r="F76" s="13"/>
      <c r="G76" s="11" t="s">
        <v>28</v>
      </c>
      <c r="H76" s="11" t="s">
        <v>27</v>
      </c>
      <c r="I76" s="14" t="s">
        <v>28</v>
      </c>
      <c r="J76" s="14" t="s">
        <v>47</v>
      </c>
      <c r="K76" s="15" t="s">
        <v>64</v>
      </c>
      <c r="L76" s="14" t="s">
        <v>171</v>
      </c>
      <c r="M76" s="14"/>
      <c r="N76" s="14" t="s">
        <v>67</v>
      </c>
      <c r="O76" s="14"/>
      <c r="P76" s="15" t="s">
        <v>100</v>
      </c>
      <c r="Q76" s="16">
        <v>4899</v>
      </c>
      <c r="R76" s="17">
        <v>46.93</v>
      </c>
      <c r="S76" s="18">
        <v>2989.9884999999995</v>
      </c>
      <c r="T76" s="19" t="s">
        <v>36</v>
      </c>
      <c r="U76" s="20" t="s">
        <v>69</v>
      </c>
      <c r="V76" s="21" t="s">
        <v>70</v>
      </c>
      <c r="W76" s="22">
        <v>2</v>
      </c>
      <c r="X76" s="23"/>
    </row>
    <row r="77" spans="1:24" s="1" customFormat="1" ht="108" customHeight="1" x14ac:dyDescent="0.3">
      <c r="A77" s="11" t="s">
        <v>23</v>
      </c>
      <c r="B77" s="11" t="s">
        <v>172</v>
      </c>
      <c r="C77" s="12" t="s">
        <v>173</v>
      </c>
      <c r="D77" s="25"/>
      <c r="E77" s="39" t="str">
        <f>HYPERLINK("https://www.google.ru/search?q=1365336-686&amp;newwindow=1&amp;tbm=isch","Еще фото")</f>
        <v>Еще фото</v>
      </c>
      <c r="F77" s="13"/>
      <c r="G77" s="11" t="s">
        <v>63</v>
      </c>
      <c r="H77" s="11" t="s">
        <v>27</v>
      </c>
      <c r="I77" s="14" t="s">
        <v>28</v>
      </c>
      <c r="J77" s="14" t="s">
        <v>29</v>
      </c>
      <c r="K77" s="15" t="s">
        <v>64</v>
      </c>
      <c r="L77" s="14" t="s">
        <v>99</v>
      </c>
      <c r="M77" s="14" t="s">
        <v>66</v>
      </c>
      <c r="N77" s="14" t="s">
        <v>57</v>
      </c>
      <c r="O77" s="14"/>
      <c r="P77" s="15" t="s">
        <v>100</v>
      </c>
      <c r="Q77" s="16">
        <v>5799</v>
      </c>
      <c r="R77" s="17">
        <v>46.54</v>
      </c>
      <c r="S77" s="18">
        <v>3564.9884999999995</v>
      </c>
      <c r="T77" s="19" t="s">
        <v>36</v>
      </c>
      <c r="U77" s="20" t="s">
        <v>41</v>
      </c>
      <c r="V77" s="21" t="s">
        <v>40</v>
      </c>
      <c r="W77" s="22">
        <v>4</v>
      </c>
      <c r="X77" s="23"/>
    </row>
    <row r="78" spans="1:24" s="1" customFormat="1" ht="108" customHeight="1" x14ac:dyDescent="0.3">
      <c r="A78" s="11" t="s">
        <v>23</v>
      </c>
      <c r="B78" s="11" t="s">
        <v>174</v>
      </c>
      <c r="C78" s="12" t="s">
        <v>175</v>
      </c>
      <c r="D78" s="25"/>
      <c r="E78" s="39" t="str">
        <f>HYPERLINK("https://www.google.ru/search?q=1368181-530&amp;newwindow=1&amp;tbm=isch","Еще фото")</f>
        <v>Еще фото</v>
      </c>
      <c r="F78" s="13"/>
      <c r="G78" s="11" t="s">
        <v>63</v>
      </c>
      <c r="H78" s="11" t="s">
        <v>27</v>
      </c>
      <c r="I78" s="14" t="s">
        <v>28</v>
      </c>
      <c r="J78" s="14" t="s">
        <v>29</v>
      </c>
      <c r="K78" s="15" t="s">
        <v>64</v>
      </c>
      <c r="L78" s="14" t="s">
        <v>176</v>
      </c>
      <c r="M78" s="14" t="s">
        <v>177</v>
      </c>
      <c r="N78" s="14" t="s">
        <v>67</v>
      </c>
      <c r="O78" s="14" t="s">
        <v>34</v>
      </c>
      <c r="P78" s="15" t="s">
        <v>178</v>
      </c>
      <c r="Q78" s="16">
        <v>5799</v>
      </c>
      <c r="R78" s="17">
        <v>46.54</v>
      </c>
      <c r="S78" s="18">
        <v>3564.9884999999995</v>
      </c>
      <c r="T78" s="19" t="s">
        <v>36</v>
      </c>
      <c r="U78" s="20" t="s">
        <v>69</v>
      </c>
      <c r="V78" s="21" t="s">
        <v>70</v>
      </c>
      <c r="W78" s="22">
        <v>1</v>
      </c>
      <c r="X78" s="23"/>
    </row>
    <row r="79" spans="1:24" s="1" customFormat="1" ht="108" customHeight="1" x14ac:dyDescent="0.3">
      <c r="A79" s="11" t="s">
        <v>23</v>
      </c>
      <c r="B79" s="11" t="s">
        <v>179</v>
      </c>
      <c r="C79" s="12" t="s">
        <v>180</v>
      </c>
      <c r="D79" s="25"/>
      <c r="E79" s="39" t="str">
        <f>HYPERLINK("https://www.google.ru/search?q=1366203-012&amp;newwindow=1&amp;tbm=isch","Еще фото")</f>
        <v>Еще фото</v>
      </c>
      <c r="F79" s="13"/>
      <c r="G79" s="11" t="s">
        <v>28</v>
      </c>
      <c r="H79" s="11" t="s">
        <v>27</v>
      </c>
      <c r="I79" s="14" t="s">
        <v>28</v>
      </c>
      <c r="J79" s="14" t="s">
        <v>29</v>
      </c>
      <c r="K79" s="15" t="s">
        <v>30</v>
      </c>
      <c r="L79" s="14" t="s">
        <v>181</v>
      </c>
      <c r="M79" s="14"/>
      <c r="N79" s="14" t="s">
        <v>84</v>
      </c>
      <c r="O79" s="14"/>
      <c r="P79" s="15" t="s">
        <v>51</v>
      </c>
      <c r="Q79" s="16">
        <v>6899</v>
      </c>
      <c r="R79" s="17">
        <v>46.37</v>
      </c>
      <c r="S79" s="18">
        <v>4254.9884999999995</v>
      </c>
      <c r="T79" s="19" t="s">
        <v>36</v>
      </c>
      <c r="U79" s="20" t="s">
        <v>37</v>
      </c>
      <c r="V79" s="21" t="s">
        <v>38</v>
      </c>
      <c r="W79" s="22">
        <v>4</v>
      </c>
      <c r="X79" s="23"/>
    </row>
    <row r="80" spans="1:24" s="1" customFormat="1" ht="108" customHeight="1" x14ac:dyDescent="0.3">
      <c r="A80" s="11" t="s">
        <v>23</v>
      </c>
      <c r="B80" s="11" t="s">
        <v>182</v>
      </c>
      <c r="C80" s="12" t="s">
        <v>183</v>
      </c>
      <c r="D80" s="25"/>
      <c r="E80" s="39" t="str">
        <f>HYPERLINK("https://www.google.ru/search?q=6003861-498&amp;newwindow=1&amp;tbm=isch","Еще фото")</f>
        <v>Еще фото</v>
      </c>
      <c r="F80" s="13"/>
      <c r="G80" s="11" t="s">
        <v>28</v>
      </c>
      <c r="H80" s="11" t="s">
        <v>27</v>
      </c>
      <c r="I80" s="14" t="s">
        <v>28</v>
      </c>
      <c r="J80" s="14" t="s">
        <v>47</v>
      </c>
      <c r="K80" s="15" t="s">
        <v>30</v>
      </c>
      <c r="L80" s="14" t="s">
        <v>184</v>
      </c>
      <c r="M80" s="14"/>
      <c r="N80" s="14" t="s">
        <v>91</v>
      </c>
      <c r="O80" s="14"/>
      <c r="P80" s="15" t="s">
        <v>185</v>
      </c>
      <c r="Q80" s="16">
        <v>6899</v>
      </c>
      <c r="R80" s="17">
        <v>46.37</v>
      </c>
      <c r="S80" s="18">
        <v>4254.9884999999995</v>
      </c>
      <c r="T80" s="19" t="s">
        <v>36</v>
      </c>
      <c r="U80" s="20" t="s">
        <v>37</v>
      </c>
      <c r="V80" s="21" t="s">
        <v>38</v>
      </c>
      <c r="W80" s="22">
        <v>1</v>
      </c>
      <c r="X80" s="23"/>
    </row>
    <row r="81" spans="1:24" s="1" customFormat="1" ht="108" customHeight="1" x14ac:dyDescent="0.3">
      <c r="A81" s="11" t="s">
        <v>23</v>
      </c>
      <c r="B81" s="11" t="s">
        <v>174</v>
      </c>
      <c r="C81" s="12" t="s">
        <v>186</v>
      </c>
      <c r="D81" s="25"/>
      <c r="E81" s="39" t="str">
        <f>HYPERLINK("https://www.google.ru/search?q=1368181-369&amp;newwindow=1&amp;tbm=isch","Еще фото")</f>
        <v>Еще фото</v>
      </c>
      <c r="F81" s="13"/>
      <c r="G81" s="11" t="s">
        <v>63</v>
      </c>
      <c r="H81" s="11" t="s">
        <v>27</v>
      </c>
      <c r="I81" s="14" t="s">
        <v>28</v>
      </c>
      <c r="J81" s="14" t="s">
        <v>29</v>
      </c>
      <c r="K81" s="15" t="s">
        <v>64</v>
      </c>
      <c r="L81" s="14" t="s">
        <v>176</v>
      </c>
      <c r="M81" s="14" t="s">
        <v>177</v>
      </c>
      <c r="N81" s="14" t="s">
        <v>125</v>
      </c>
      <c r="O81" s="14" t="s">
        <v>34</v>
      </c>
      <c r="P81" s="15" t="s">
        <v>178</v>
      </c>
      <c r="Q81" s="16">
        <v>6699</v>
      </c>
      <c r="R81" s="17">
        <v>46.26</v>
      </c>
      <c r="S81" s="18">
        <v>4139.9884999999995</v>
      </c>
      <c r="T81" s="19" t="s">
        <v>36</v>
      </c>
      <c r="U81" s="20" t="s">
        <v>69</v>
      </c>
      <c r="V81" s="21" t="s">
        <v>70</v>
      </c>
      <c r="W81" s="22">
        <v>1</v>
      </c>
      <c r="X81" s="23"/>
    </row>
    <row r="82" spans="1:24" s="1" customFormat="1" ht="108" customHeight="1" x14ac:dyDescent="0.3">
      <c r="A82" s="11" t="s">
        <v>23</v>
      </c>
      <c r="B82" s="11" t="s">
        <v>187</v>
      </c>
      <c r="C82" s="12" t="s">
        <v>188</v>
      </c>
      <c r="D82" s="25"/>
      <c r="E82" s="39" t="str">
        <f>HYPERLINK("https://www.google.ru/search?q=1290261-468&amp;newwindow=1&amp;tbm=isch","Еще фото")</f>
        <v>Еще фото</v>
      </c>
      <c r="F82" s="13"/>
      <c r="G82" s="11" t="s">
        <v>28</v>
      </c>
      <c r="H82" s="11" t="s">
        <v>27</v>
      </c>
      <c r="I82" s="14" t="s">
        <v>28</v>
      </c>
      <c r="J82" s="14" t="s">
        <v>29</v>
      </c>
      <c r="K82" s="15" t="s">
        <v>30</v>
      </c>
      <c r="L82" s="14" t="s">
        <v>189</v>
      </c>
      <c r="M82" s="14"/>
      <c r="N82" s="14" t="s">
        <v>91</v>
      </c>
      <c r="O82" s="14"/>
      <c r="P82" s="15" t="s">
        <v>51</v>
      </c>
      <c r="Q82" s="16">
        <v>7999</v>
      </c>
      <c r="R82" s="17">
        <v>46.24</v>
      </c>
      <c r="S82" s="18">
        <v>4944.9884999999995</v>
      </c>
      <c r="T82" s="19" t="s">
        <v>36</v>
      </c>
      <c r="U82" s="20" t="s">
        <v>37</v>
      </c>
      <c r="V82" s="21" t="s">
        <v>38</v>
      </c>
      <c r="W82" s="22">
        <v>6</v>
      </c>
      <c r="X82" s="23"/>
    </row>
    <row r="83" spans="1:24" s="1" customFormat="1" ht="108" customHeight="1" x14ac:dyDescent="0.3">
      <c r="A83" s="11" t="s">
        <v>23</v>
      </c>
      <c r="B83" s="11" t="s">
        <v>80</v>
      </c>
      <c r="C83" s="12" t="s">
        <v>190</v>
      </c>
      <c r="D83" s="25"/>
      <c r="E83" s="39" t="str">
        <f>HYPERLINK("https://www.google.ru/search?q=1356403-001&amp;newwindow=1&amp;tbm=isch","Еще фото")</f>
        <v>Еще фото</v>
      </c>
      <c r="F83" s="13"/>
      <c r="G83" s="11" t="s">
        <v>82</v>
      </c>
      <c r="H83" s="11" t="s">
        <v>27</v>
      </c>
      <c r="I83" s="14" t="s">
        <v>28</v>
      </c>
      <c r="J83" s="14" t="s">
        <v>29</v>
      </c>
      <c r="K83" s="15" t="s">
        <v>64</v>
      </c>
      <c r="L83" s="14" t="s">
        <v>191</v>
      </c>
      <c r="M83" s="14" t="s">
        <v>49</v>
      </c>
      <c r="N83" s="14" t="s">
        <v>33</v>
      </c>
      <c r="O83" s="14"/>
      <c r="P83" s="15" t="s">
        <v>85</v>
      </c>
      <c r="Q83" s="16">
        <v>3899</v>
      </c>
      <c r="R83" s="17">
        <v>46.14</v>
      </c>
      <c r="S83" s="18">
        <v>2414.9884999999995</v>
      </c>
      <c r="T83" s="19" t="s">
        <v>36</v>
      </c>
      <c r="U83" s="20" t="s">
        <v>69</v>
      </c>
      <c r="V83" s="21" t="s">
        <v>70</v>
      </c>
      <c r="W83" s="22">
        <v>1</v>
      </c>
      <c r="X83" s="23"/>
    </row>
    <row r="84" spans="1:24" s="1" customFormat="1" ht="108" customHeight="1" x14ac:dyDescent="0.3">
      <c r="A84" s="11" t="s">
        <v>23</v>
      </c>
      <c r="B84" s="11" t="s">
        <v>192</v>
      </c>
      <c r="C84" s="12" t="s">
        <v>193</v>
      </c>
      <c r="D84" s="25"/>
      <c r="E84" s="39" t="str">
        <f>HYPERLINK("https://www.google.ru/search?q=1356404-019&amp;newwindow=1&amp;tbm=isch","Еще фото")</f>
        <v>Еще фото</v>
      </c>
      <c r="F84" s="13"/>
      <c r="G84" s="11" t="s">
        <v>63</v>
      </c>
      <c r="H84" s="11" t="s">
        <v>27</v>
      </c>
      <c r="I84" s="14" t="s">
        <v>28</v>
      </c>
      <c r="J84" s="14" t="s">
        <v>29</v>
      </c>
      <c r="K84" s="15" t="s">
        <v>64</v>
      </c>
      <c r="L84" s="14" t="s">
        <v>194</v>
      </c>
      <c r="M84" s="14"/>
      <c r="N84" s="14" t="s">
        <v>84</v>
      </c>
      <c r="O84" s="14"/>
      <c r="P84" s="15" t="s">
        <v>85</v>
      </c>
      <c r="Q84" s="16">
        <v>5190</v>
      </c>
      <c r="R84" s="17">
        <v>46.05</v>
      </c>
      <c r="S84" s="18">
        <v>3219.9884999999995</v>
      </c>
      <c r="T84" s="19" t="s">
        <v>36</v>
      </c>
      <c r="U84" s="20" t="s">
        <v>69</v>
      </c>
      <c r="V84" s="21" t="s">
        <v>70</v>
      </c>
      <c r="W84" s="22">
        <v>1</v>
      </c>
      <c r="X84" s="23"/>
    </row>
    <row r="85" spans="1:24" s="1" customFormat="1" ht="108" customHeight="1" x14ac:dyDescent="0.3">
      <c r="A85" s="11" t="s">
        <v>23</v>
      </c>
      <c r="B85" s="11" t="s">
        <v>195</v>
      </c>
      <c r="C85" s="12" t="s">
        <v>196</v>
      </c>
      <c r="D85" s="25"/>
      <c r="E85" s="39" t="str">
        <f>HYPERLINK("https://www.google.ru/search?q=1373374-690&amp;newwindow=1&amp;tbm=isch","Еще фото")</f>
        <v>Еще фото</v>
      </c>
      <c r="F85" s="13"/>
      <c r="G85" s="11" t="s">
        <v>28</v>
      </c>
      <c r="H85" s="11" t="s">
        <v>27</v>
      </c>
      <c r="I85" s="14" t="s">
        <v>28</v>
      </c>
      <c r="J85" s="14" t="s">
        <v>29</v>
      </c>
      <c r="K85" s="15" t="s">
        <v>30</v>
      </c>
      <c r="L85" s="14" t="s">
        <v>197</v>
      </c>
      <c r="M85" s="14" t="s">
        <v>56</v>
      </c>
      <c r="N85" s="14" t="s">
        <v>140</v>
      </c>
      <c r="O85" s="14"/>
      <c r="P85" s="15" t="s">
        <v>113</v>
      </c>
      <c r="Q85" s="16">
        <v>7599</v>
      </c>
      <c r="R85" s="17">
        <v>46.05</v>
      </c>
      <c r="S85" s="18">
        <v>4714.9884999999995</v>
      </c>
      <c r="T85" s="19" t="s">
        <v>36</v>
      </c>
      <c r="U85" s="20" t="s">
        <v>37</v>
      </c>
      <c r="V85" s="21" t="s">
        <v>38</v>
      </c>
      <c r="W85" s="22">
        <v>4</v>
      </c>
      <c r="X85" s="23"/>
    </row>
    <row r="86" spans="1:24" s="1" customFormat="1" ht="35.1" customHeight="1" x14ac:dyDescent="0.3">
      <c r="A86" s="11" t="s">
        <v>23</v>
      </c>
      <c r="B86" s="11" t="s">
        <v>122</v>
      </c>
      <c r="C86" s="12" t="s">
        <v>198</v>
      </c>
      <c r="D86" s="53"/>
      <c r="E86" s="39" t="str">
        <f>HYPERLINK("https://www.google.ru/search?q=1390155-001&amp;newwindow=1&amp;tbm=isch","Еще фото")</f>
        <v>Еще фото</v>
      </c>
      <c r="F86" s="13"/>
      <c r="G86" s="11" t="s">
        <v>28</v>
      </c>
      <c r="H86" s="11" t="s">
        <v>27</v>
      </c>
      <c r="I86" s="14" t="s">
        <v>28</v>
      </c>
      <c r="J86" s="14" t="s">
        <v>47</v>
      </c>
      <c r="K86" s="15" t="s">
        <v>54</v>
      </c>
      <c r="L86" s="56" t="s">
        <v>124</v>
      </c>
      <c r="M86" s="14"/>
      <c r="N86" s="14" t="s">
        <v>33</v>
      </c>
      <c r="O86" s="14"/>
      <c r="P86" s="15" t="s">
        <v>133</v>
      </c>
      <c r="Q86" s="16">
        <v>4499</v>
      </c>
      <c r="R86" s="17">
        <v>46</v>
      </c>
      <c r="S86" s="18">
        <v>2793.8789999999999</v>
      </c>
      <c r="T86" s="19" t="s">
        <v>36</v>
      </c>
      <c r="U86" s="20" t="s">
        <v>114</v>
      </c>
      <c r="V86" s="21" t="s">
        <v>115</v>
      </c>
      <c r="W86" s="22">
        <v>5</v>
      </c>
      <c r="X86" s="23"/>
    </row>
    <row r="87" spans="1:24" s="1" customFormat="1" ht="35.1" customHeight="1" x14ac:dyDescent="0.3">
      <c r="A87" s="24" t="s">
        <v>23</v>
      </c>
      <c r="B87" s="24" t="s">
        <v>122</v>
      </c>
      <c r="C87" s="12" t="s">
        <v>198</v>
      </c>
      <c r="D87" s="54"/>
      <c r="E87" s="39" t="str">
        <f>HYPERLINK("https://www.google.ru/search?q=1390155-001&amp;newwindow=1&amp;tbm=isch","Еще фото")</f>
        <v>Еще фото</v>
      </c>
      <c r="F87" s="13"/>
      <c r="G87" s="24" t="s">
        <v>28</v>
      </c>
      <c r="H87" s="24" t="s">
        <v>27</v>
      </c>
      <c r="I87" s="24" t="s">
        <v>28</v>
      </c>
      <c r="J87" s="14" t="s">
        <v>47</v>
      </c>
      <c r="K87" s="15" t="s">
        <v>54</v>
      </c>
      <c r="L87" s="57"/>
      <c r="M87" s="14"/>
      <c r="N87" s="14" t="s">
        <v>33</v>
      </c>
      <c r="O87" s="14"/>
      <c r="P87" s="15" t="s">
        <v>133</v>
      </c>
      <c r="Q87" s="16">
        <v>4499</v>
      </c>
      <c r="R87" s="17">
        <v>46</v>
      </c>
      <c r="S87" s="18">
        <v>2793.8789999999999</v>
      </c>
      <c r="T87" s="19" t="s">
        <v>36</v>
      </c>
      <c r="U87" s="20" t="s">
        <v>126</v>
      </c>
      <c r="V87" s="21" t="s">
        <v>127</v>
      </c>
      <c r="W87" s="22">
        <v>4</v>
      </c>
      <c r="X87" s="23"/>
    </row>
    <row r="88" spans="1:24" s="1" customFormat="1" ht="36.950000000000003" customHeight="1" x14ac:dyDescent="0.3">
      <c r="A88" s="24" t="s">
        <v>23</v>
      </c>
      <c r="B88" s="24" t="s">
        <v>122</v>
      </c>
      <c r="C88" s="12" t="s">
        <v>198</v>
      </c>
      <c r="D88" s="55"/>
      <c r="E88" s="39" t="str">
        <f>HYPERLINK("https://www.google.ru/search?q=1390155-001&amp;newwindow=1&amp;tbm=isch","Еще фото")</f>
        <v>Еще фото</v>
      </c>
      <c r="F88" s="13"/>
      <c r="G88" s="24" t="s">
        <v>28</v>
      </c>
      <c r="H88" s="24" t="s">
        <v>27</v>
      </c>
      <c r="I88" s="24" t="s">
        <v>28</v>
      </c>
      <c r="J88" s="14" t="s">
        <v>47</v>
      </c>
      <c r="K88" s="15" t="s">
        <v>54</v>
      </c>
      <c r="L88" s="58"/>
      <c r="M88" s="14"/>
      <c r="N88" s="14" t="s">
        <v>33</v>
      </c>
      <c r="O88" s="14"/>
      <c r="P88" s="15" t="s">
        <v>133</v>
      </c>
      <c r="Q88" s="16">
        <v>4499</v>
      </c>
      <c r="R88" s="17">
        <v>46</v>
      </c>
      <c r="S88" s="18">
        <v>2793.8789999999999</v>
      </c>
      <c r="T88" s="19" t="s">
        <v>36</v>
      </c>
      <c r="U88" s="20" t="s">
        <v>59</v>
      </c>
      <c r="V88" s="21" t="s">
        <v>60</v>
      </c>
      <c r="W88" s="22">
        <v>3</v>
      </c>
      <c r="X88" s="23"/>
    </row>
    <row r="89" spans="1:24" s="1" customFormat="1" ht="21" customHeight="1" x14ac:dyDescent="0.3">
      <c r="A89" s="11" t="s">
        <v>23</v>
      </c>
      <c r="B89" s="11" t="s">
        <v>199</v>
      </c>
      <c r="C89" s="26" t="s">
        <v>200</v>
      </c>
      <c r="D89" s="53"/>
      <c r="E89" s="39" t="str">
        <f>HYPERLINK("https://www.google.ru/search?q=6009975-001&amp;newwindow=1&amp;tbm=isch","Еще фото")</f>
        <v>Еще фото</v>
      </c>
      <c r="F89" s="13"/>
      <c r="G89" s="11" t="s">
        <v>63</v>
      </c>
      <c r="H89" s="11" t="s">
        <v>27</v>
      </c>
      <c r="I89" s="14" t="s">
        <v>28</v>
      </c>
      <c r="J89" s="14" t="s">
        <v>29</v>
      </c>
      <c r="K89" s="15" t="s">
        <v>54</v>
      </c>
      <c r="L89" s="56" t="s">
        <v>201</v>
      </c>
      <c r="M89" s="14"/>
      <c r="N89" s="14" t="s">
        <v>33</v>
      </c>
      <c r="O89" s="14"/>
      <c r="P89" s="15" t="s">
        <v>141</v>
      </c>
      <c r="Q89" s="16">
        <v>4599</v>
      </c>
      <c r="R89" s="17">
        <v>46</v>
      </c>
      <c r="S89" s="18">
        <v>2855.9789999999998</v>
      </c>
      <c r="T89" s="19" t="s">
        <v>36</v>
      </c>
      <c r="U89" s="20" t="s">
        <v>114</v>
      </c>
      <c r="V89" s="21" t="s">
        <v>115</v>
      </c>
      <c r="W89" s="22">
        <v>4</v>
      </c>
      <c r="X89" s="23"/>
    </row>
    <row r="90" spans="1:24" s="1" customFormat="1" ht="21" customHeight="1" x14ac:dyDescent="0.3">
      <c r="A90" s="24" t="s">
        <v>23</v>
      </c>
      <c r="B90" s="24" t="s">
        <v>199</v>
      </c>
      <c r="C90" s="27" t="s">
        <v>200</v>
      </c>
      <c r="D90" s="54"/>
      <c r="E90" s="39" t="str">
        <f>HYPERLINK("https://www.google.ru/search?q=6009975-001&amp;newwindow=1&amp;tbm=isch","Еще фото")</f>
        <v>Еще фото</v>
      </c>
      <c r="F90" s="13"/>
      <c r="G90" s="24" t="s">
        <v>63</v>
      </c>
      <c r="H90" s="24" t="s">
        <v>27</v>
      </c>
      <c r="I90" s="24" t="s">
        <v>28</v>
      </c>
      <c r="J90" s="14" t="s">
        <v>29</v>
      </c>
      <c r="K90" s="15" t="s">
        <v>54</v>
      </c>
      <c r="L90" s="57"/>
      <c r="M90" s="14"/>
      <c r="N90" s="14" t="s">
        <v>33</v>
      </c>
      <c r="O90" s="14"/>
      <c r="P90" s="15" t="s">
        <v>141</v>
      </c>
      <c r="Q90" s="16">
        <v>4599</v>
      </c>
      <c r="R90" s="17">
        <v>46</v>
      </c>
      <c r="S90" s="18">
        <v>2855.9789999999998</v>
      </c>
      <c r="T90" s="19" t="s">
        <v>36</v>
      </c>
      <c r="U90" s="20" t="s">
        <v>126</v>
      </c>
      <c r="V90" s="21" t="s">
        <v>127</v>
      </c>
      <c r="W90" s="22">
        <v>7</v>
      </c>
      <c r="X90" s="23"/>
    </row>
    <row r="91" spans="1:24" s="1" customFormat="1" ht="21" customHeight="1" x14ac:dyDescent="0.3">
      <c r="A91" s="24" t="s">
        <v>23</v>
      </c>
      <c r="B91" s="24" t="s">
        <v>199</v>
      </c>
      <c r="C91" s="27" t="s">
        <v>200</v>
      </c>
      <c r="D91" s="54"/>
      <c r="E91" s="39" t="str">
        <f>HYPERLINK("https://www.google.ru/search?q=6009975-001&amp;newwindow=1&amp;tbm=isch","Еще фото")</f>
        <v>Еще фото</v>
      </c>
      <c r="F91" s="13"/>
      <c r="G91" s="24" t="s">
        <v>63</v>
      </c>
      <c r="H91" s="24" t="s">
        <v>27</v>
      </c>
      <c r="I91" s="24" t="s">
        <v>28</v>
      </c>
      <c r="J91" s="14" t="s">
        <v>29</v>
      </c>
      <c r="K91" s="15" t="s">
        <v>54</v>
      </c>
      <c r="L91" s="57"/>
      <c r="M91" s="14"/>
      <c r="N91" s="14" t="s">
        <v>33</v>
      </c>
      <c r="O91" s="14"/>
      <c r="P91" s="15" t="s">
        <v>141</v>
      </c>
      <c r="Q91" s="16">
        <v>4599</v>
      </c>
      <c r="R91" s="17">
        <v>46</v>
      </c>
      <c r="S91" s="18">
        <v>2855.9789999999998</v>
      </c>
      <c r="T91" s="19" t="s">
        <v>36</v>
      </c>
      <c r="U91" s="20" t="s">
        <v>128</v>
      </c>
      <c r="V91" s="21" t="s">
        <v>129</v>
      </c>
      <c r="W91" s="22">
        <v>2</v>
      </c>
      <c r="X91" s="23"/>
    </row>
    <row r="92" spans="1:24" s="1" customFormat="1" ht="21" customHeight="1" x14ac:dyDescent="0.3">
      <c r="A92" s="24" t="s">
        <v>23</v>
      </c>
      <c r="B92" s="24" t="s">
        <v>199</v>
      </c>
      <c r="C92" s="27" t="s">
        <v>200</v>
      </c>
      <c r="D92" s="54"/>
      <c r="E92" s="39" t="str">
        <f>HYPERLINK("https://www.google.ru/search?q=6009975-001&amp;newwindow=1&amp;tbm=isch","Еще фото")</f>
        <v>Еще фото</v>
      </c>
      <c r="F92" s="13"/>
      <c r="G92" s="24" t="s">
        <v>63</v>
      </c>
      <c r="H92" s="24" t="s">
        <v>27</v>
      </c>
      <c r="I92" s="24" t="s">
        <v>28</v>
      </c>
      <c r="J92" s="14" t="s">
        <v>29</v>
      </c>
      <c r="K92" s="15" t="s">
        <v>54</v>
      </c>
      <c r="L92" s="57"/>
      <c r="M92" s="14"/>
      <c r="N92" s="14" t="s">
        <v>33</v>
      </c>
      <c r="O92" s="14"/>
      <c r="P92" s="15" t="s">
        <v>141</v>
      </c>
      <c r="Q92" s="16">
        <v>4599</v>
      </c>
      <c r="R92" s="17">
        <v>46</v>
      </c>
      <c r="S92" s="18">
        <v>2855.9789999999998</v>
      </c>
      <c r="T92" s="19" t="s">
        <v>36</v>
      </c>
      <c r="U92" s="20" t="s">
        <v>59</v>
      </c>
      <c r="V92" s="21" t="s">
        <v>60</v>
      </c>
      <c r="W92" s="22">
        <v>11</v>
      </c>
      <c r="X92" s="23"/>
    </row>
    <row r="93" spans="1:24" s="1" customFormat="1" ht="32.1" customHeight="1" x14ac:dyDescent="0.3">
      <c r="A93" s="24" t="s">
        <v>23</v>
      </c>
      <c r="B93" s="24" t="s">
        <v>199</v>
      </c>
      <c r="C93" s="27" t="s">
        <v>200</v>
      </c>
      <c r="D93" s="55"/>
      <c r="E93" s="39" t="str">
        <f>HYPERLINK("https://www.google.ru/search?q=6009975-001&amp;newwindow=1&amp;tbm=isch","Еще фото")</f>
        <v>Еще фото</v>
      </c>
      <c r="F93" s="13"/>
      <c r="G93" s="24" t="s">
        <v>63</v>
      </c>
      <c r="H93" s="24" t="s">
        <v>27</v>
      </c>
      <c r="I93" s="24" t="s">
        <v>28</v>
      </c>
      <c r="J93" s="14" t="s">
        <v>29</v>
      </c>
      <c r="K93" s="15" t="s">
        <v>54</v>
      </c>
      <c r="L93" s="58"/>
      <c r="M93" s="14"/>
      <c r="N93" s="14" t="s">
        <v>33</v>
      </c>
      <c r="O93" s="14"/>
      <c r="P93" s="15" t="s">
        <v>141</v>
      </c>
      <c r="Q93" s="16">
        <v>4599</v>
      </c>
      <c r="R93" s="17">
        <v>46</v>
      </c>
      <c r="S93" s="18">
        <v>2855.9789999999998</v>
      </c>
      <c r="T93" s="19" t="s">
        <v>36</v>
      </c>
      <c r="U93" s="20" t="s">
        <v>130</v>
      </c>
      <c r="V93" s="21" t="s">
        <v>131</v>
      </c>
      <c r="W93" s="22">
        <v>7</v>
      </c>
      <c r="X93" s="23"/>
    </row>
    <row r="94" spans="1:24" s="1" customFormat="1" ht="21" customHeight="1" x14ac:dyDescent="0.3">
      <c r="A94" s="11" t="s">
        <v>23</v>
      </c>
      <c r="B94" s="11" t="s">
        <v>199</v>
      </c>
      <c r="C94" s="26" t="s">
        <v>202</v>
      </c>
      <c r="D94" s="53"/>
      <c r="E94" s="39" t="str">
        <f>HYPERLINK("https://www.google.ru/search?q=6009975-600&amp;newwindow=1&amp;tbm=isch","Еще фото")</f>
        <v>Еще фото</v>
      </c>
      <c r="F94" s="13"/>
      <c r="G94" s="11" t="s">
        <v>63</v>
      </c>
      <c r="H94" s="11" t="s">
        <v>27</v>
      </c>
      <c r="I94" s="14" t="s">
        <v>28</v>
      </c>
      <c r="J94" s="14" t="s">
        <v>29</v>
      </c>
      <c r="K94" s="15" t="s">
        <v>54</v>
      </c>
      <c r="L94" s="56" t="s">
        <v>201</v>
      </c>
      <c r="M94" s="14"/>
      <c r="N94" s="14" t="s">
        <v>57</v>
      </c>
      <c r="O94" s="14"/>
      <c r="P94" s="15" t="s">
        <v>203</v>
      </c>
      <c r="Q94" s="16">
        <v>4599</v>
      </c>
      <c r="R94" s="17">
        <v>46</v>
      </c>
      <c r="S94" s="18">
        <v>2855.9789999999998</v>
      </c>
      <c r="T94" s="19" t="s">
        <v>36</v>
      </c>
      <c r="U94" s="20" t="s">
        <v>114</v>
      </c>
      <c r="V94" s="21" t="s">
        <v>115</v>
      </c>
      <c r="W94" s="22">
        <v>6</v>
      </c>
      <c r="X94" s="23"/>
    </row>
    <row r="95" spans="1:24" s="1" customFormat="1" ht="21" customHeight="1" x14ac:dyDescent="0.3">
      <c r="A95" s="24" t="s">
        <v>23</v>
      </c>
      <c r="B95" s="24" t="s">
        <v>199</v>
      </c>
      <c r="C95" s="27" t="s">
        <v>202</v>
      </c>
      <c r="D95" s="54"/>
      <c r="E95" s="39" t="str">
        <f>HYPERLINK("https://www.google.ru/search?q=6009975-600&amp;newwindow=1&amp;tbm=isch","Еще фото")</f>
        <v>Еще фото</v>
      </c>
      <c r="F95" s="13"/>
      <c r="G95" s="24" t="s">
        <v>63</v>
      </c>
      <c r="H95" s="24" t="s">
        <v>27</v>
      </c>
      <c r="I95" s="24" t="s">
        <v>28</v>
      </c>
      <c r="J95" s="14" t="s">
        <v>29</v>
      </c>
      <c r="K95" s="15" t="s">
        <v>54</v>
      </c>
      <c r="L95" s="57"/>
      <c r="M95" s="14"/>
      <c r="N95" s="14" t="s">
        <v>57</v>
      </c>
      <c r="O95" s="14"/>
      <c r="P95" s="15" t="s">
        <v>203</v>
      </c>
      <c r="Q95" s="16">
        <v>4599</v>
      </c>
      <c r="R95" s="17">
        <v>46</v>
      </c>
      <c r="S95" s="18">
        <v>2855.9789999999998</v>
      </c>
      <c r="T95" s="19" t="s">
        <v>36</v>
      </c>
      <c r="U95" s="20" t="s">
        <v>126</v>
      </c>
      <c r="V95" s="21" t="s">
        <v>127</v>
      </c>
      <c r="W95" s="22">
        <v>6</v>
      </c>
      <c r="X95" s="23"/>
    </row>
    <row r="96" spans="1:24" s="1" customFormat="1" ht="21" customHeight="1" x14ac:dyDescent="0.3">
      <c r="A96" s="24" t="s">
        <v>23</v>
      </c>
      <c r="B96" s="24" t="s">
        <v>199</v>
      </c>
      <c r="C96" s="27" t="s">
        <v>202</v>
      </c>
      <c r="D96" s="54"/>
      <c r="E96" s="39" t="str">
        <f>HYPERLINK("https://www.google.ru/search?q=6009975-600&amp;newwindow=1&amp;tbm=isch","Еще фото")</f>
        <v>Еще фото</v>
      </c>
      <c r="F96" s="13"/>
      <c r="G96" s="24" t="s">
        <v>63</v>
      </c>
      <c r="H96" s="24" t="s">
        <v>27</v>
      </c>
      <c r="I96" s="24" t="s">
        <v>28</v>
      </c>
      <c r="J96" s="14" t="s">
        <v>29</v>
      </c>
      <c r="K96" s="15" t="s">
        <v>54</v>
      </c>
      <c r="L96" s="57"/>
      <c r="M96" s="14"/>
      <c r="N96" s="14" t="s">
        <v>57</v>
      </c>
      <c r="O96" s="14"/>
      <c r="P96" s="15" t="s">
        <v>203</v>
      </c>
      <c r="Q96" s="16">
        <v>4599</v>
      </c>
      <c r="R96" s="17">
        <v>46</v>
      </c>
      <c r="S96" s="18">
        <v>2855.9789999999998</v>
      </c>
      <c r="T96" s="19" t="s">
        <v>36</v>
      </c>
      <c r="U96" s="20" t="s">
        <v>128</v>
      </c>
      <c r="V96" s="21" t="s">
        <v>129</v>
      </c>
      <c r="W96" s="22">
        <v>5</v>
      </c>
      <c r="X96" s="23"/>
    </row>
    <row r="97" spans="1:24" s="1" customFormat="1" ht="21" customHeight="1" x14ac:dyDescent="0.3">
      <c r="A97" s="24" t="s">
        <v>23</v>
      </c>
      <c r="B97" s="24" t="s">
        <v>199</v>
      </c>
      <c r="C97" s="27" t="s">
        <v>202</v>
      </c>
      <c r="D97" s="54"/>
      <c r="E97" s="39" t="str">
        <f>HYPERLINK("https://www.google.ru/search?q=6009975-600&amp;newwindow=1&amp;tbm=isch","Еще фото")</f>
        <v>Еще фото</v>
      </c>
      <c r="F97" s="13"/>
      <c r="G97" s="24" t="s">
        <v>63</v>
      </c>
      <c r="H97" s="24" t="s">
        <v>27</v>
      </c>
      <c r="I97" s="24" t="s">
        <v>28</v>
      </c>
      <c r="J97" s="14" t="s">
        <v>29</v>
      </c>
      <c r="K97" s="15" t="s">
        <v>54</v>
      </c>
      <c r="L97" s="57"/>
      <c r="M97" s="14"/>
      <c r="N97" s="14" t="s">
        <v>57</v>
      </c>
      <c r="O97" s="14"/>
      <c r="P97" s="15" t="s">
        <v>203</v>
      </c>
      <c r="Q97" s="16">
        <v>4599</v>
      </c>
      <c r="R97" s="17">
        <v>46</v>
      </c>
      <c r="S97" s="18">
        <v>2855.9789999999998</v>
      </c>
      <c r="T97" s="19" t="s">
        <v>36</v>
      </c>
      <c r="U97" s="20" t="s">
        <v>59</v>
      </c>
      <c r="V97" s="21" t="s">
        <v>60</v>
      </c>
      <c r="W97" s="22">
        <v>13</v>
      </c>
      <c r="X97" s="23"/>
    </row>
    <row r="98" spans="1:24" s="1" customFormat="1" ht="32.1" customHeight="1" x14ac:dyDescent="0.3">
      <c r="A98" s="24" t="s">
        <v>23</v>
      </c>
      <c r="B98" s="24" t="s">
        <v>199</v>
      </c>
      <c r="C98" s="27" t="s">
        <v>202</v>
      </c>
      <c r="D98" s="55"/>
      <c r="E98" s="39" t="str">
        <f>HYPERLINK("https://www.google.ru/search?q=6009975-600&amp;newwindow=1&amp;tbm=isch","Еще фото")</f>
        <v>Еще фото</v>
      </c>
      <c r="F98" s="13"/>
      <c r="G98" s="24" t="s">
        <v>63</v>
      </c>
      <c r="H98" s="24" t="s">
        <v>27</v>
      </c>
      <c r="I98" s="24" t="s">
        <v>28</v>
      </c>
      <c r="J98" s="14" t="s">
        <v>29</v>
      </c>
      <c r="K98" s="15" t="s">
        <v>54</v>
      </c>
      <c r="L98" s="58"/>
      <c r="M98" s="14"/>
      <c r="N98" s="14" t="s">
        <v>57</v>
      </c>
      <c r="O98" s="14"/>
      <c r="P98" s="15" t="s">
        <v>203</v>
      </c>
      <c r="Q98" s="16">
        <v>4599</v>
      </c>
      <c r="R98" s="17">
        <v>46</v>
      </c>
      <c r="S98" s="18">
        <v>2855.9789999999998</v>
      </c>
      <c r="T98" s="19" t="s">
        <v>36</v>
      </c>
      <c r="U98" s="20" t="s">
        <v>130</v>
      </c>
      <c r="V98" s="21" t="s">
        <v>131</v>
      </c>
      <c r="W98" s="22">
        <v>7</v>
      </c>
      <c r="X98" s="23"/>
    </row>
    <row r="99" spans="1:24" s="1" customFormat="1" ht="26.1" customHeight="1" x14ac:dyDescent="0.3">
      <c r="A99" s="11" t="s">
        <v>23</v>
      </c>
      <c r="B99" s="11" t="s">
        <v>137</v>
      </c>
      <c r="C99" s="12" t="s">
        <v>204</v>
      </c>
      <c r="D99" s="53"/>
      <c r="E99" s="39" t="str">
        <f>HYPERLINK("https://www.google.ru/search?q=6012636-001&amp;newwindow=1&amp;tbm=isch","Еще фото")</f>
        <v>Еще фото</v>
      </c>
      <c r="F99" s="13"/>
      <c r="G99" s="11" t="s">
        <v>63</v>
      </c>
      <c r="H99" s="11" t="s">
        <v>27</v>
      </c>
      <c r="I99" s="14" t="s">
        <v>28</v>
      </c>
      <c r="J99" s="14" t="s">
        <v>29</v>
      </c>
      <c r="K99" s="15" t="s">
        <v>54</v>
      </c>
      <c r="L99" s="56" t="s">
        <v>139</v>
      </c>
      <c r="M99" s="14"/>
      <c r="N99" s="14" t="s">
        <v>33</v>
      </c>
      <c r="O99" s="14"/>
      <c r="P99" s="15" t="s">
        <v>141</v>
      </c>
      <c r="Q99" s="16">
        <v>4799</v>
      </c>
      <c r="R99" s="17">
        <v>46</v>
      </c>
      <c r="S99" s="18">
        <v>2980.1789999999996</v>
      </c>
      <c r="T99" s="19" t="s">
        <v>36</v>
      </c>
      <c r="U99" s="20" t="s">
        <v>114</v>
      </c>
      <c r="V99" s="21" t="s">
        <v>115</v>
      </c>
      <c r="W99" s="22">
        <v>6</v>
      </c>
      <c r="X99" s="23"/>
    </row>
    <row r="100" spans="1:24" s="1" customFormat="1" ht="26.1" customHeight="1" x14ac:dyDescent="0.3">
      <c r="A100" s="24" t="s">
        <v>23</v>
      </c>
      <c r="B100" s="24" t="s">
        <v>137</v>
      </c>
      <c r="C100" s="12" t="s">
        <v>204</v>
      </c>
      <c r="D100" s="54"/>
      <c r="E100" s="39" t="str">
        <f>HYPERLINK("https://www.google.ru/search?q=6012636-001&amp;newwindow=1&amp;tbm=isch","Еще фото")</f>
        <v>Еще фото</v>
      </c>
      <c r="F100" s="13"/>
      <c r="G100" s="24" t="s">
        <v>63</v>
      </c>
      <c r="H100" s="24" t="s">
        <v>27</v>
      </c>
      <c r="I100" s="24" t="s">
        <v>28</v>
      </c>
      <c r="J100" s="14" t="s">
        <v>29</v>
      </c>
      <c r="K100" s="15" t="s">
        <v>54</v>
      </c>
      <c r="L100" s="57"/>
      <c r="M100" s="14"/>
      <c r="N100" s="14" t="s">
        <v>33</v>
      </c>
      <c r="O100" s="14"/>
      <c r="P100" s="15" t="s">
        <v>141</v>
      </c>
      <c r="Q100" s="16">
        <v>4799</v>
      </c>
      <c r="R100" s="17">
        <v>46</v>
      </c>
      <c r="S100" s="18">
        <v>2980.1789999999996</v>
      </c>
      <c r="T100" s="19" t="s">
        <v>36</v>
      </c>
      <c r="U100" s="20" t="s">
        <v>126</v>
      </c>
      <c r="V100" s="21" t="s">
        <v>127</v>
      </c>
      <c r="W100" s="22">
        <v>1</v>
      </c>
      <c r="X100" s="23"/>
    </row>
    <row r="101" spans="1:24" s="1" customFormat="1" ht="26.1" customHeight="1" x14ac:dyDescent="0.3">
      <c r="A101" s="24" t="s">
        <v>23</v>
      </c>
      <c r="B101" s="24" t="s">
        <v>137</v>
      </c>
      <c r="C101" s="12" t="s">
        <v>204</v>
      </c>
      <c r="D101" s="54"/>
      <c r="E101" s="39" t="str">
        <f>HYPERLINK("https://www.google.ru/search?q=6012636-001&amp;newwindow=1&amp;tbm=isch","Еще фото")</f>
        <v>Еще фото</v>
      </c>
      <c r="F101" s="13"/>
      <c r="G101" s="24" t="s">
        <v>63</v>
      </c>
      <c r="H101" s="24" t="s">
        <v>27</v>
      </c>
      <c r="I101" s="24" t="s">
        <v>28</v>
      </c>
      <c r="J101" s="14" t="s">
        <v>29</v>
      </c>
      <c r="K101" s="15" t="s">
        <v>54</v>
      </c>
      <c r="L101" s="57"/>
      <c r="M101" s="14"/>
      <c r="N101" s="14" t="s">
        <v>33</v>
      </c>
      <c r="O101" s="14"/>
      <c r="P101" s="15" t="s">
        <v>141</v>
      </c>
      <c r="Q101" s="16">
        <v>4799</v>
      </c>
      <c r="R101" s="17">
        <v>46</v>
      </c>
      <c r="S101" s="18">
        <v>2980.1789999999996</v>
      </c>
      <c r="T101" s="19" t="s">
        <v>36</v>
      </c>
      <c r="U101" s="20" t="s">
        <v>59</v>
      </c>
      <c r="V101" s="21" t="s">
        <v>60</v>
      </c>
      <c r="W101" s="22">
        <v>7</v>
      </c>
      <c r="X101" s="23"/>
    </row>
    <row r="102" spans="1:24" s="1" customFormat="1" ht="26.1" customHeight="1" x14ac:dyDescent="0.3">
      <c r="A102" s="24" t="s">
        <v>23</v>
      </c>
      <c r="B102" s="24" t="s">
        <v>137</v>
      </c>
      <c r="C102" s="12" t="s">
        <v>204</v>
      </c>
      <c r="D102" s="55"/>
      <c r="E102" s="39" t="str">
        <f>HYPERLINK("https://www.google.ru/search?q=6012636-001&amp;newwindow=1&amp;tbm=isch","Еще фото")</f>
        <v>Еще фото</v>
      </c>
      <c r="F102" s="13"/>
      <c r="G102" s="24" t="s">
        <v>63</v>
      </c>
      <c r="H102" s="24" t="s">
        <v>27</v>
      </c>
      <c r="I102" s="24" t="s">
        <v>28</v>
      </c>
      <c r="J102" s="14" t="s">
        <v>29</v>
      </c>
      <c r="K102" s="15" t="s">
        <v>54</v>
      </c>
      <c r="L102" s="58"/>
      <c r="M102" s="14"/>
      <c r="N102" s="14" t="s">
        <v>33</v>
      </c>
      <c r="O102" s="14"/>
      <c r="P102" s="15" t="s">
        <v>141</v>
      </c>
      <c r="Q102" s="16">
        <v>4799</v>
      </c>
      <c r="R102" s="17">
        <v>46</v>
      </c>
      <c r="S102" s="18">
        <v>2980.1789999999996</v>
      </c>
      <c r="T102" s="19" t="s">
        <v>36</v>
      </c>
      <c r="U102" s="20" t="s">
        <v>130</v>
      </c>
      <c r="V102" s="21" t="s">
        <v>131</v>
      </c>
      <c r="W102" s="22">
        <v>1</v>
      </c>
      <c r="X102" s="23"/>
    </row>
    <row r="103" spans="1:24" s="1" customFormat="1" ht="108" customHeight="1" x14ac:dyDescent="0.3">
      <c r="A103" s="11" t="s">
        <v>23</v>
      </c>
      <c r="B103" s="11" t="s">
        <v>146</v>
      </c>
      <c r="C103" s="12" t="s">
        <v>205</v>
      </c>
      <c r="D103" s="25"/>
      <c r="E103" s="39" t="str">
        <f>HYPERLINK("https://www.google.ru/search?q=1386558-002&amp;newwindow=1&amp;tbm=isch","Еще фото")</f>
        <v>Еще фото</v>
      </c>
      <c r="F103" s="13"/>
      <c r="G103" s="11" t="s">
        <v>28</v>
      </c>
      <c r="H103" s="11" t="s">
        <v>27</v>
      </c>
      <c r="I103" s="14" t="s">
        <v>28</v>
      </c>
      <c r="J103" s="14" t="s">
        <v>47</v>
      </c>
      <c r="K103" s="15" t="s">
        <v>30</v>
      </c>
      <c r="L103" s="14" t="s">
        <v>148</v>
      </c>
      <c r="M103" s="14" t="s">
        <v>32</v>
      </c>
      <c r="N103" s="14" t="s">
        <v>33</v>
      </c>
      <c r="O103" s="14"/>
      <c r="P103" s="15" t="s">
        <v>100</v>
      </c>
      <c r="Q103" s="16">
        <v>8699</v>
      </c>
      <c r="R103" s="17">
        <v>45.97</v>
      </c>
      <c r="S103" s="18">
        <v>5404.9884999999995</v>
      </c>
      <c r="T103" s="19" t="s">
        <v>36</v>
      </c>
      <c r="U103" s="20" t="s">
        <v>37</v>
      </c>
      <c r="V103" s="21" t="s">
        <v>38</v>
      </c>
      <c r="W103" s="22">
        <v>1</v>
      </c>
      <c r="X103" s="23"/>
    </row>
    <row r="104" spans="1:24" s="1" customFormat="1" ht="108" customHeight="1" x14ac:dyDescent="0.3">
      <c r="A104" s="11" t="s">
        <v>23</v>
      </c>
      <c r="B104" s="11" t="s">
        <v>206</v>
      </c>
      <c r="C104" s="12" t="s">
        <v>207</v>
      </c>
      <c r="D104" s="25"/>
      <c r="E104" s="39" t="str">
        <f>HYPERLINK("https://www.google.ru/search?q=1365602-554&amp;newwindow=1&amp;tbm=isch","Еще фото")</f>
        <v>Еще фото</v>
      </c>
      <c r="F104" s="13"/>
      <c r="G104" s="11" t="s">
        <v>63</v>
      </c>
      <c r="H104" s="11" t="s">
        <v>27</v>
      </c>
      <c r="I104" s="14" t="s">
        <v>28</v>
      </c>
      <c r="J104" s="14" t="s">
        <v>29</v>
      </c>
      <c r="K104" s="15" t="s">
        <v>64</v>
      </c>
      <c r="L104" s="14" t="s">
        <v>208</v>
      </c>
      <c r="M104" s="14" t="s">
        <v>49</v>
      </c>
      <c r="N104" s="14" t="s">
        <v>67</v>
      </c>
      <c r="O104" s="14" t="s">
        <v>34</v>
      </c>
      <c r="P104" s="15" t="s">
        <v>209</v>
      </c>
      <c r="Q104" s="16">
        <v>9790</v>
      </c>
      <c r="R104" s="17">
        <v>45.86</v>
      </c>
      <c r="S104" s="18">
        <v>6094.9884999999995</v>
      </c>
      <c r="T104" s="19" t="s">
        <v>36</v>
      </c>
      <c r="U104" s="20" t="s">
        <v>41</v>
      </c>
      <c r="V104" s="21" t="s">
        <v>40</v>
      </c>
      <c r="W104" s="22">
        <v>1</v>
      </c>
      <c r="X104" s="23"/>
    </row>
    <row r="105" spans="1:24" s="1" customFormat="1" ht="108" customHeight="1" x14ac:dyDescent="0.3">
      <c r="A105" s="11" t="s">
        <v>23</v>
      </c>
      <c r="B105" s="11" t="s">
        <v>210</v>
      </c>
      <c r="C105" s="12" t="s">
        <v>211</v>
      </c>
      <c r="D105" s="25"/>
      <c r="E105" s="39" t="str">
        <f>HYPERLINK("https://www.google.ru/search?q=1364934-289&amp;newwindow=1&amp;tbm=isch","Еще фото")</f>
        <v>Еще фото</v>
      </c>
      <c r="F105" s="13"/>
      <c r="G105" s="11" t="s">
        <v>28</v>
      </c>
      <c r="H105" s="11" t="s">
        <v>27</v>
      </c>
      <c r="I105" s="14" t="s">
        <v>28</v>
      </c>
      <c r="J105" s="14" t="s">
        <v>212</v>
      </c>
      <c r="K105" s="15" t="s">
        <v>30</v>
      </c>
      <c r="L105" s="14" t="s">
        <v>213</v>
      </c>
      <c r="M105" s="14" t="s">
        <v>214</v>
      </c>
      <c r="N105" s="14" t="s">
        <v>215</v>
      </c>
      <c r="O105" s="14"/>
      <c r="P105" s="15" t="s">
        <v>185</v>
      </c>
      <c r="Q105" s="16">
        <v>11999</v>
      </c>
      <c r="R105" s="17">
        <v>45.83</v>
      </c>
      <c r="S105" s="18">
        <v>7474.9884999999995</v>
      </c>
      <c r="T105" s="19" t="s">
        <v>36</v>
      </c>
      <c r="U105" s="20" t="s">
        <v>216</v>
      </c>
      <c r="V105" s="22">
        <v>46</v>
      </c>
      <c r="W105" s="22">
        <v>3</v>
      </c>
      <c r="X105" s="23"/>
    </row>
    <row r="106" spans="1:24" s="1" customFormat="1" ht="108" customHeight="1" x14ac:dyDescent="0.3">
      <c r="A106" s="11" t="s">
        <v>23</v>
      </c>
      <c r="B106" s="11" t="s">
        <v>101</v>
      </c>
      <c r="C106" s="12" t="s">
        <v>217</v>
      </c>
      <c r="D106" s="25"/>
      <c r="E106" s="39" t="str">
        <f>HYPERLINK("https://www.google.ru/search?q=1357123-408&amp;newwindow=1&amp;tbm=isch","Еще фото")</f>
        <v>Еще фото</v>
      </c>
      <c r="F106" s="13"/>
      <c r="G106" s="11" t="s">
        <v>28</v>
      </c>
      <c r="H106" s="11" t="s">
        <v>27</v>
      </c>
      <c r="I106" s="14" t="s">
        <v>28</v>
      </c>
      <c r="J106" s="14" t="s">
        <v>29</v>
      </c>
      <c r="K106" s="15" t="s">
        <v>30</v>
      </c>
      <c r="L106" s="14" t="s">
        <v>218</v>
      </c>
      <c r="M106" s="14" t="s">
        <v>90</v>
      </c>
      <c r="N106" s="14" t="s">
        <v>91</v>
      </c>
      <c r="O106" s="14"/>
      <c r="P106" s="15" t="s">
        <v>51</v>
      </c>
      <c r="Q106" s="16">
        <v>7199</v>
      </c>
      <c r="R106" s="17">
        <v>45.83</v>
      </c>
      <c r="S106" s="18">
        <v>4484.9884999999995</v>
      </c>
      <c r="T106" s="19" t="s">
        <v>36</v>
      </c>
      <c r="U106" s="20" t="s">
        <v>37</v>
      </c>
      <c r="V106" s="21" t="s">
        <v>38</v>
      </c>
      <c r="W106" s="22">
        <v>3</v>
      </c>
      <c r="X106" s="23"/>
    </row>
    <row r="107" spans="1:24" s="1" customFormat="1" ht="108" customHeight="1" x14ac:dyDescent="0.3">
      <c r="A107" s="11" t="s">
        <v>23</v>
      </c>
      <c r="B107" s="11" t="s">
        <v>101</v>
      </c>
      <c r="C107" s="12" t="s">
        <v>219</v>
      </c>
      <c r="D107" s="25"/>
      <c r="E107" s="39" t="str">
        <f>HYPERLINK("https://www.google.ru/search?q=1373362-390&amp;newwindow=1&amp;tbm=isch","Еще фото")</f>
        <v>Еще фото</v>
      </c>
      <c r="F107" s="13"/>
      <c r="G107" s="11" t="s">
        <v>28</v>
      </c>
      <c r="H107" s="11" t="s">
        <v>27</v>
      </c>
      <c r="I107" s="14" t="s">
        <v>28</v>
      </c>
      <c r="J107" s="14" t="s">
        <v>29</v>
      </c>
      <c r="K107" s="15" t="s">
        <v>30</v>
      </c>
      <c r="L107" s="14" t="s">
        <v>89</v>
      </c>
      <c r="M107" s="14" t="s">
        <v>90</v>
      </c>
      <c r="N107" s="14" t="s">
        <v>125</v>
      </c>
      <c r="O107" s="14"/>
      <c r="P107" s="15" t="s">
        <v>51</v>
      </c>
      <c r="Q107" s="16">
        <v>8299</v>
      </c>
      <c r="R107" s="17">
        <v>45.78</v>
      </c>
      <c r="S107" s="18">
        <v>5174.9884999999995</v>
      </c>
      <c r="T107" s="19" t="s">
        <v>36</v>
      </c>
      <c r="U107" s="20" t="s">
        <v>37</v>
      </c>
      <c r="V107" s="21" t="s">
        <v>38</v>
      </c>
      <c r="W107" s="22">
        <v>3</v>
      </c>
      <c r="X107" s="23"/>
    </row>
    <row r="108" spans="1:24" s="1" customFormat="1" ht="108" customHeight="1" x14ac:dyDescent="0.3">
      <c r="A108" s="11" t="s">
        <v>23</v>
      </c>
      <c r="B108" s="11" t="s">
        <v>220</v>
      </c>
      <c r="C108" s="12" t="s">
        <v>221</v>
      </c>
      <c r="D108" s="25"/>
      <c r="E108" s="39" t="str">
        <f>HYPERLINK("https://www.google.ru/search?q=1361642-001&amp;newwindow=1&amp;tbm=isch","Еще фото")</f>
        <v>Еще фото</v>
      </c>
      <c r="F108" s="13"/>
      <c r="G108" s="11" t="s">
        <v>28</v>
      </c>
      <c r="H108" s="11" t="s">
        <v>27</v>
      </c>
      <c r="I108" s="14" t="s">
        <v>28</v>
      </c>
      <c r="J108" s="14" t="s">
        <v>29</v>
      </c>
      <c r="K108" s="15" t="s">
        <v>30</v>
      </c>
      <c r="L108" s="14" t="s">
        <v>222</v>
      </c>
      <c r="M108" s="14" t="s">
        <v>223</v>
      </c>
      <c r="N108" s="14" t="s">
        <v>33</v>
      </c>
      <c r="O108" s="14" t="s">
        <v>34</v>
      </c>
      <c r="P108" s="15" t="s">
        <v>113</v>
      </c>
      <c r="Q108" s="16">
        <v>6799</v>
      </c>
      <c r="R108" s="17">
        <v>45.58</v>
      </c>
      <c r="S108" s="18">
        <v>4254.9884999999995</v>
      </c>
      <c r="T108" s="19" t="s">
        <v>36</v>
      </c>
      <c r="U108" s="20" t="s">
        <v>37</v>
      </c>
      <c r="V108" s="21" t="s">
        <v>38</v>
      </c>
      <c r="W108" s="22">
        <v>1</v>
      </c>
      <c r="X108" s="23"/>
    </row>
    <row r="109" spans="1:24" s="1" customFormat="1" ht="108" customHeight="1" x14ac:dyDescent="0.3">
      <c r="A109" s="11" t="s">
        <v>23</v>
      </c>
      <c r="B109" s="11" t="s">
        <v>163</v>
      </c>
      <c r="C109" s="12" t="s">
        <v>224</v>
      </c>
      <c r="D109" s="25"/>
      <c r="E109" s="39" t="str">
        <f>HYPERLINK("https://www.google.ru/search?q=1373361-012&amp;newwindow=1&amp;tbm=isch","Еще фото")</f>
        <v>Еще фото</v>
      </c>
      <c r="F109" s="13"/>
      <c r="G109" s="11" t="s">
        <v>28</v>
      </c>
      <c r="H109" s="11" t="s">
        <v>27</v>
      </c>
      <c r="I109" s="14" t="s">
        <v>28</v>
      </c>
      <c r="J109" s="14" t="s">
        <v>29</v>
      </c>
      <c r="K109" s="15" t="s">
        <v>30</v>
      </c>
      <c r="L109" s="14" t="s">
        <v>165</v>
      </c>
      <c r="M109" s="14" t="s">
        <v>90</v>
      </c>
      <c r="N109" s="14" t="s">
        <v>166</v>
      </c>
      <c r="O109" s="14"/>
      <c r="P109" s="15" t="s">
        <v>51</v>
      </c>
      <c r="Q109" s="16">
        <v>8999</v>
      </c>
      <c r="R109" s="17">
        <v>45.55</v>
      </c>
      <c r="S109" s="18">
        <v>5634.9884999999995</v>
      </c>
      <c r="T109" s="19" t="s">
        <v>36</v>
      </c>
      <c r="U109" s="20" t="s">
        <v>69</v>
      </c>
      <c r="V109" s="21" t="s">
        <v>75</v>
      </c>
      <c r="W109" s="22">
        <v>1</v>
      </c>
      <c r="X109" s="23"/>
    </row>
    <row r="110" spans="1:24" s="1" customFormat="1" ht="108" customHeight="1" x14ac:dyDescent="0.3">
      <c r="A110" s="11" t="s">
        <v>23</v>
      </c>
      <c r="B110" s="11" t="s">
        <v>225</v>
      </c>
      <c r="C110" s="12" t="s">
        <v>226</v>
      </c>
      <c r="D110" s="25"/>
      <c r="E110" s="39" t="str">
        <f>HYPERLINK("https://www.google.ru/search?q=1366060-001&amp;newwindow=1&amp;tbm=isch","Еще фото")</f>
        <v>Еще фото</v>
      </c>
      <c r="F110" s="13"/>
      <c r="G110" s="11" t="s">
        <v>227</v>
      </c>
      <c r="H110" s="11" t="s">
        <v>27</v>
      </c>
      <c r="I110" s="14" t="s">
        <v>28</v>
      </c>
      <c r="J110" s="14" t="s">
        <v>29</v>
      </c>
      <c r="K110" s="15" t="s">
        <v>30</v>
      </c>
      <c r="L110" s="14" t="s">
        <v>228</v>
      </c>
      <c r="M110" s="14" t="s">
        <v>229</v>
      </c>
      <c r="N110" s="14" t="s">
        <v>33</v>
      </c>
      <c r="O110" s="14"/>
      <c r="P110" s="15" t="s">
        <v>230</v>
      </c>
      <c r="Q110" s="16">
        <v>10999</v>
      </c>
      <c r="R110" s="17">
        <v>45.45</v>
      </c>
      <c r="S110" s="18">
        <v>6899.9884999999995</v>
      </c>
      <c r="T110" s="19" t="s">
        <v>36</v>
      </c>
      <c r="U110" s="20" t="s">
        <v>69</v>
      </c>
      <c r="V110" s="21" t="s">
        <v>75</v>
      </c>
      <c r="W110" s="22">
        <v>3</v>
      </c>
      <c r="X110" s="23"/>
    </row>
    <row r="111" spans="1:24" s="1" customFormat="1" ht="108" customHeight="1" x14ac:dyDescent="0.3">
      <c r="A111" s="11" t="s">
        <v>23</v>
      </c>
      <c r="B111" s="11" t="s">
        <v>231</v>
      </c>
      <c r="C111" s="12" t="s">
        <v>232</v>
      </c>
      <c r="D111" s="25"/>
      <c r="E111" s="39" t="str">
        <f>HYPERLINK("https://www.google.ru/search?q=1388823-390&amp;newwindow=1&amp;tbm=isch","Еще фото")</f>
        <v>Еще фото</v>
      </c>
      <c r="F111" s="13"/>
      <c r="G111" s="11" t="s">
        <v>28</v>
      </c>
      <c r="H111" s="11" t="s">
        <v>27</v>
      </c>
      <c r="I111" s="14" t="s">
        <v>28</v>
      </c>
      <c r="J111" s="14" t="s">
        <v>29</v>
      </c>
      <c r="K111" s="15" t="s">
        <v>30</v>
      </c>
      <c r="L111" s="14" t="s">
        <v>233</v>
      </c>
      <c r="M111" s="14" t="s">
        <v>32</v>
      </c>
      <c r="N111" s="14" t="s">
        <v>125</v>
      </c>
      <c r="O111" s="14"/>
      <c r="P111" s="15" t="s">
        <v>185</v>
      </c>
      <c r="Q111" s="16">
        <v>10999</v>
      </c>
      <c r="R111" s="17">
        <v>45.45</v>
      </c>
      <c r="S111" s="18">
        <v>6899.9884999999995</v>
      </c>
      <c r="T111" s="19" t="s">
        <v>36</v>
      </c>
      <c r="U111" s="20" t="s">
        <v>37</v>
      </c>
      <c r="V111" s="21" t="s">
        <v>38</v>
      </c>
      <c r="W111" s="22">
        <v>1</v>
      </c>
      <c r="X111" s="23"/>
    </row>
    <row r="112" spans="1:24" s="1" customFormat="1" ht="108" customHeight="1" x14ac:dyDescent="0.3">
      <c r="A112" s="11" t="s">
        <v>23</v>
      </c>
      <c r="B112" s="11" t="s">
        <v>234</v>
      </c>
      <c r="C112" s="12" t="s">
        <v>235</v>
      </c>
      <c r="D112" s="25"/>
      <c r="E112" s="39" t="str">
        <f>HYPERLINK("https://www.google.ru/search?q=1361023-561&amp;newwindow=1&amp;tbm=isch","Еще фото")</f>
        <v>Еще фото</v>
      </c>
      <c r="F112" s="13"/>
      <c r="G112" s="11" t="s">
        <v>82</v>
      </c>
      <c r="H112" s="11" t="s">
        <v>27</v>
      </c>
      <c r="I112" s="14" t="s">
        <v>28</v>
      </c>
      <c r="J112" s="14" t="s">
        <v>29</v>
      </c>
      <c r="K112" s="15" t="s">
        <v>64</v>
      </c>
      <c r="L112" s="14" t="s">
        <v>236</v>
      </c>
      <c r="M112" s="14"/>
      <c r="N112" s="14" t="s">
        <v>67</v>
      </c>
      <c r="O112" s="14"/>
      <c r="P112" s="15" t="s">
        <v>237</v>
      </c>
      <c r="Q112" s="16">
        <v>8790</v>
      </c>
      <c r="R112" s="17">
        <v>45.39</v>
      </c>
      <c r="S112" s="18">
        <v>5519.9884999999995</v>
      </c>
      <c r="T112" s="19" t="s">
        <v>36</v>
      </c>
      <c r="U112" s="20" t="s">
        <v>69</v>
      </c>
      <c r="V112" s="21" t="s">
        <v>70</v>
      </c>
      <c r="W112" s="22">
        <v>1</v>
      </c>
      <c r="X112" s="23"/>
    </row>
    <row r="113" spans="1:24" s="1" customFormat="1" ht="108" customHeight="1" x14ac:dyDescent="0.3">
      <c r="A113" s="11" t="s">
        <v>23</v>
      </c>
      <c r="B113" s="11" t="s">
        <v>153</v>
      </c>
      <c r="C113" s="12" t="s">
        <v>238</v>
      </c>
      <c r="D113" s="25"/>
      <c r="E113" s="39" t="str">
        <f>HYPERLINK("https://www.google.ru/search?q=1386899-001&amp;newwindow=1&amp;tbm=isch","Еще фото")</f>
        <v>Еще фото</v>
      </c>
      <c r="F113" s="13"/>
      <c r="G113" s="11" t="s">
        <v>28</v>
      </c>
      <c r="H113" s="11" t="s">
        <v>27</v>
      </c>
      <c r="I113" s="14" t="s">
        <v>28</v>
      </c>
      <c r="J113" s="14" t="s">
        <v>29</v>
      </c>
      <c r="K113" s="15" t="s">
        <v>30</v>
      </c>
      <c r="L113" s="14" t="s">
        <v>155</v>
      </c>
      <c r="M113" s="14"/>
      <c r="N113" s="14" t="s">
        <v>33</v>
      </c>
      <c r="O113" s="14"/>
      <c r="P113" s="15" t="s">
        <v>156</v>
      </c>
      <c r="Q113" s="16">
        <v>19399</v>
      </c>
      <c r="R113" s="17">
        <v>45.36</v>
      </c>
      <c r="S113" s="18">
        <v>12189.988499999999</v>
      </c>
      <c r="T113" s="19" t="s">
        <v>36</v>
      </c>
      <c r="U113" s="20" t="s">
        <v>37</v>
      </c>
      <c r="V113" s="21" t="s">
        <v>38</v>
      </c>
      <c r="W113" s="22">
        <v>2</v>
      </c>
      <c r="X113" s="23"/>
    </row>
    <row r="114" spans="1:24" s="1" customFormat="1" ht="108" customHeight="1" x14ac:dyDescent="0.3">
      <c r="A114" s="11" t="s">
        <v>23</v>
      </c>
      <c r="B114" s="11" t="s">
        <v>101</v>
      </c>
      <c r="C114" s="12" t="s">
        <v>239</v>
      </c>
      <c r="D114" s="25"/>
      <c r="E114" s="39" t="str">
        <f>HYPERLINK("https://www.google.ru/search?q=1373362-437&amp;newwindow=1&amp;tbm=isch","Еще фото")</f>
        <v>Еще фото</v>
      </c>
      <c r="F114" s="13"/>
      <c r="G114" s="11" t="s">
        <v>28</v>
      </c>
      <c r="H114" s="11" t="s">
        <v>27</v>
      </c>
      <c r="I114" s="14" t="s">
        <v>28</v>
      </c>
      <c r="J114" s="14" t="s">
        <v>29</v>
      </c>
      <c r="K114" s="15" t="s">
        <v>30</v>
      </c>
      <c r="L114" s="14" t="s">
        <v>240</v>
      </c>
      <c r="M114" s="14" t="s">
        <v>90</v>
      </c>
      <c r="N114" s="14" t="s">
        <v>91</v>
      </c>
      <c r="O114" s="14"/>
      <c r="P114" s="15" t="s">
        <v>51</v>
      </c>
      <c r="Q114" s="16">
        <v>8599</v>
      </c>
      <c r="R114" s="17">
        <v>45.34</v>
      </c>
      <c r="S114" s="18">
        <v>5404.9884999999995</v>
      </c>
      <c r="T114" s="19" t="s">
        <v>36</v>
      </c>
      <c r="U114" s="20" t="s">
        <v>37</v>
      </c>
      <c r="V114" s="21" t="s">
        <v>38</v>
      </c>
      <c r="W114" s="22">
        <v>1</v>
      </c>
      <c r="X114" s="23"/>
    </row>
    <row r="115" spans="1:24" s="1" customFormat="1" ht="108" customHeight="1" x14ac:dyDescent="0.3">
      <c r="A115" s="11" t="s">
        <v>23</v>
      </c>
      <c r="B115" s="11" t="s">
        <v>241</v>
      </c>
      <c r="C115" s="12" t="s">
        <v>242</v>
      </c>
      <c r="D115" s="25"/>
      <c r="E115" s="39" t="str">
        <f>HYPERLINK("https://www.google.ru/search?q=1379296-001&amp;newwindow=1&amp;tbm=isch","Еще фото")</f>
        <v>Еще фото</v>
      </c>
      <c r="F115" s="13" t="s">
        <v>98</v>
      </c>
      <c r="G115" s="11" t="s">
        <v>26</v>
      </c>
      <c r="H115" s="11" t="s">
        <v>27</v>
      </c>
      <c r="I115" s="14" t="s">
        <v>28</v>
      </c>
      <c r="J115" s="14" t="s">
        <v>29</v>
      </c>
      <c r="K115" s="15" t="s">
        <v>30</v>
      </c>
      <c r="L115" s="14" t="s">
        <v>243</v>
      </c>
      <c r="M115" s="14"/>
      <c r="N115" s="14" t="s">
        <v>33</v>
      </c>
      <c r="O115" s="14"/>
      <c r="P115" s="15" t="s">
        <v>178</v>
      </c>
      <c r="Q115" s="16">
        <v>7499</v>
      </c>
      <c r="R115" s="17">
        <v>45.33</v>
      </c>
      <c r="S115" s="18">
        <v>4714.9884999999995</v>
      </c>
      <c r="T115" s="19" t="s">
        <v>36</v>
      </c>
      <c r="U115" s="20" t="s">
        <v>37</v>
      </c>
      <c r="V115" s="21" t="s">
        <v>38</v>
      </c>
      <c r="W115" s="22">
        <v>12</v>
      </c>
      <c r="X115" s="23"/>
    </row>
    <row r="116" spans="1:24" s="1" customFormat="1" ht="108" customHeight="1" x14ac:dyDescent="0.3">
      <c r="A116" s="11" t="s">
        <v>23</v>
      </c>
      <c r="B116" s="11" t="s">
        <v>244</v>
      </c>
      <c r="C116" s="12" t="s">
        <v>245</v>
      </c>
      <c r="D116" s="25"/>
      <c r="E116" s="39" t="str">
        <f>HYPERLINK("https://www.google.ru/search?q=1369004-698&amp;newwindow=1&amp;tbm=isch","Еще фото")</f>
        <v>Еще фото</v>
      </c>
      <c r="F116" s="13"/>
      <c r="G116" s="11" t="s">
        <v>63</v>
      </c>
      <c r="H116" s="11" t="s">
        <v>27</v>
      </c>
      <c r="I116" s="14" t="s">
        <v>28</v>
      </c>
      <c r="J116" s="14" t="s">
        <v>29</v>
      </c>
      <c r="K116" s="15" t="s">
        <v>64</v>
      </c>
      <c r="L116" s="14" t="s">
        <v>65</v>
      </c>
      <c r="M116" s="14" t="s">
        <v>66</v>
      </c>
      <c r="N116" s="14" t="s">
        <v>57</v>
      </c>
      <c r="O116" s="14" t="s">
        <v>34</v>
      </c>
      <c r="P116" s="15" t="s">
        <v>68</v>
      </c>
      <c r="Q116" s="16">
        <v>7490</v>
      </c>
      <c r="R116" s="17">
        <v>45.26</v>
      </c>
      <c r="S116" s="18">
        <v>4714.9884999999995</v>
      </c>
      <c r="T116" s="19" t="s">
        <v>36</v>
      </c>
      <c r="U116" s="20" t="s">
        <v>41</v>
      </c>
      <c r="V116" s="21" t="s">
        <v>40</v>
      </c>
      <c r="W116" s="22">
        <v>2</v>
      </c>
      <c r="X116" s="23"/>
    </row>
    <row r="117" spans="1:24" s="1" customFormat="1" ht="108" customHeight="1" x14ac:dyDescent="0.3">
      <c r="A117" s="11" t="s">
        <v>23</v>
      </c>
      <c r="B117" s="11" t="s">
        <v>246</v>
      </c>
      <c r="C117" s="12" t="s">
        <v>247</v>
      </c>
      <c r="D117" s="25"/>
      <c r="E117" s="39" t="str">
        <f>HYPERLINK("https://www.google.ru/search?q=1352027-253&amp;newwindow=1&amp;tbm=isch","Еще фото")</f>
        <v>Еще фото</v>
      </c>
      <c r="F117" s="13"/>
      <c r="G117" s="11" t="s">
        <v>28</v>
      </c>
      <c r="H117" s="11" t="s">
        <v>27</v>
      </c>
      <c r="I117" s="14" t="s">
        <v>28</v>
      </c>
      <c r="J117" s="14" t="s">
        <v>29</v>
      </c>
      <c r="K117" s="15" t="s">
        <v>30</v>
      </c>
      <c r="L117" s="14" t="s">
        <v>248</v>
      </c>
      <c r="M117" s="14" t="s">
        <v>32</v>
      </c>
      <c r="N117" s="14" t="s">
        <v>249</v>
      </c>
      <c r="O117" s="14"/>
      <c r="P117" s="15" t="s">
        <v>185</v>
      </c>
      <c r="Q117" s="16">
        <v>9499</v>
      </c>
      <c r="R117" s="17">
        <v>45.26</v>
      </c>
      <c r="S117" s="18">
        <v>5979.9884999999995</v>
      </c>
      <c r="T117" s="19" t="s">
        <v>36</v>
      </c>
      <c r="U117" s="20" t="s">
        <v>37</v>
      </c>
      <c r="V117" s="21" t="s">
        <v>38</v>
      </c>
      <c r="W117" s="22">
        <v>2</v>
      </c>
      <c r="X117" s="23"/>
    </row>
    <row r="118" spans="1:24" s="1" customFormat="1" ht="108" customHeight="1" x14ac:dyDescent="0.3">
      <c r="A118" s="11" t="s">
        <v>23</v>
      </c>
      <c r="B118" s="11" t="s">
        <v>187</v>
      </c>
      <c r="C118" s="12" t="s">
        <v>250</v>
      </c>
      <c r="D118" s="25"/>
      <c r="E118" s="39" t="str">
        <f>HYPERLINK("https://www.google.ru/search?q=1290261-601&amp;newwindow=1&amp;tbm=isch","Еще фото")</f>
        <v>Еще фото</v>
      </c>
      <c r="F118" s="13"/>
      <c r="G118" s="11" t="s">
        <v>28</v>
      </c>
      <c r="H118" s="11" t="s">
        <v>27</v>
      </c>
      <c r="I118" s="14" t="s">
        <v>28</v>
      </c>
      <c r="J118" s="14" t="s">
        <v>29</v>
      </c>
      <c r="K118" s="15" t="s">
        <v>30</v>
      </c>
      <c r="L118" s="14" t="s">
        <v>251</v>
      </c>
      <c r="M118" s="14"/>
      <c r="N118" s="14" t="s">
        <v>252</v>
      </c>
      <c r="O118" s="14"/>
      <c r="P118" s="15" t="s">
        <v>51</v>
      </c>
      <c r="Q118" s="16">
        <v>8399</v>
      </c>
      <c r="R118" s="17">
        <v>45.23</v>
      </c>
      <c r="S118" s="18">
        <v>5289.9884999999995</v>
      </c>
      <c r="T118" s="19" t="s">
        <v>36</v>
      </c>
      <c r="U118" s="20" t="s">
        <v>37</v>
      </c>
      <c r="V118" s="21" t="s">
        <v>38</v>
      </c>
      <c r="W118" s="22">
        <v>1</v>
      </c>
      <c r="X118" s="23"/>
    </row>
    <row r="119" spans="1:24" s="1" customFormat="1" ht="108" customHeight="1" x14ac:dyDescent="0.3">
      <c r="A119" s="11" t="s">
        <v>23</v>
      </c>
      <c r="B119" s="11" t="s">
        <v>253</v>
      </c>
      <c r="C119" s="12" t="s">
        <v>254</v>
      </c>
      <c r="D119" s="25"/>
      <c r="E119" s="39" t="str">
        <f>HYPERLINK("https://www.google.ru/search?q=1300008-025&amp;newwindow=1&amp;tbm=isch","Еще фото")</f>
        <v>Еще фото</v>
      </c>
      <c r="F119" s="13"/>
      <c r="G119" s="11" t="s">
        <v>28</v>
      </c>
      <c r="H119" s="11" t="s">
        <v>27</v>
      </c>
      <c r="I119" s="14" t="s">
        <v>28</v>
      </c>
      <c r="J119" s="14" t="s">
        <v>47</v>
      </c>
      <c r="K119" s="15" t="s">
        <v>30</v>
      </c>
      <c r="L119" s="14" t="s">
        <v>255</v>
      </c>
      <c r="M119" s="14" t="s">
        <v>256</v>
      </c>
      <c r="N119" s="14" t="s">
        <v>84</v>
      </c>
      <c r="O119" s="14" t="s">
        <v>34</v>
      </c>
      <c r="P119" s="15" t="s">
        <v>257</v>
      </c>
      <c r="Q119" s="16">
        <v>8399</v>
      </c>
      <c r="R119" s="17">
        <v>45.23</v>
      </c>
      <c r="S119" s="18">
        <v>5289.9884999999995</v>
      </c>
      <c r="T119" s="19" t="s">
        <v>36</v>
      </c>
      <c r="U119" s="20" t="s">
        <v>69</v>
      </c>
      <c r="V119" s="21" t="s">
        <v>75</v>
      </c>
      <c r="W119" s="22">
        <v>1</v>
      </c>
      <c r="X119" s="23"/>
    </row>
    <row r="120" spans="1:24" s="1" customFormat="1" ht="108" customHeight="1" x14ac:dyDescent="0.3">
      <c r="A120" s="11" t="s">
        <v>23</v>
      </c>
      <c r="B120" s="11" t="s">
        <v>258</v>
      </c>
      <c r="C120" s="12" t="s">
        <v>259</v>
      </c>
      <c r="D120" s="25"/>
      <c r="E120" s="39" t="str">
        <f>HYPERLINK("https://www.google.ru/search?q=1383607-003&amp;newwindow=1&amp;tbm=isch","Еще фото")</f>
        <v>Еще фото</v>
      </c>
      <c r="F120" s="13"/>
      <c r="G120" s="11" t="s">
        <v>63</v>
      </c>
      <c r="H120" s="11" t="s">
        <v>27</v>
      </c>
      <c r="I120" s="14" t="s">
        <v>28</v>
      </c>
      <c r="J120" s="14" t="s">
        <v>29</v>
      </c>
      <c r="K120" s="15" t="s">
        <v>64</v>
      </c>
      <c r="L120" s="14" t="s">
        <v>260</v>
      </c>
      <c r="M120" s="14"/>
      <c r="N120" s="14" t="s">
        <v>33</v>
      </c>
      <c r="O120" s="14"/>
      <c r="P120" s="15" t="s">
        <v>261</v>
      </c>
      <c r="Q120" s="16">
        <v>6199</v>
      </c>
      <c r="R120" s="17">
        <v>45.15</v>
      </c>
      <c r="S120" s="18">
        <v>3909.9884999999995</v>
      </c>
      <c r="T120" s="19" t="s">
        <v>36</v>
      </c>
      <c r="U120" s="20" t="s">
        <v>69</v>
      </c>
      <c r="V120" s="21" t="s">
        <v>70</v>
      </c>
      <c r="W120" s="22">
        <v>5</v>
      </c>
      <c r="X120" s="23"/>
    </row>
    <row r="121" spans="1:24" s="1" customFormat="1" ht="108" customHeight="1" x14ac:dyDescent="0.3">
      <c r="A121" s="11" t="s">
        <v>23</v>
      </c>
      <c r="B121" s="11" t="s">
        <v>262</v>
      </c>
      <c r="C121" s="12" t="s">
        <v>263</v>
      </c>
      <c r="D121" s="25"/>
      <c r="E121" s="39" t="str">
        <f>HYPERLINK("https://www.google.ru/search?q=1386938-390&amp;newwindow=1&amp;tbm=isch","Еще фото")</f>
        <v>Еще фото</v>
      </c>
      <c r="F121" s="13"/>
      <c r="G121" s="11" t="s">
        <v>63</v>
      </c>
      <c r="H121" s="11" t="s">
        <v>27</v>
      </c>
      <c r="I121" s="14" t="s">
        <v>28</v>
      </c>
      <c r="J121" s="14" t="s">
        <v>29</v>
      </c>
      <c r="K121" s="15" t="s">
        <v>30</v>
      </c>
      <c r="L121" s="14" t="s">
        <v>264</v>
      </c>
      <c r="M121" s="14"/>
      <c r="N121" s="14" t="s">
        <v>125</v>
      </c>
      <c r="O121" s="14"/>
      <c r="P121" s="15" t="s">
        <v>265</v>
      </c>
      <c r="Q121" s="16">
        <v>6199</v>
      </c>
      <c r="R121" s="17">
        <v>45.15</v>
      </c>
      <c r="S121" s="18">
        <v>3909.9884999999995</v>
      </c>
      <c r="T121" s="19" t="s">
        <v>36</v>
      </c>
      <c r="U121" s="20" t="s">
        <v>37</v>
      </c>
      <c r="V121" s="21" t="s">
        <v>38</v>
      </c>
      <c r="W121" s="22">
        <v>1</v>
      </c>
      <c r="X121" s="23"/>
    </row>
    <row r="122" spans="1:24" s="1" customFormat="1" ht="108" customHeight="1" x14ac:dyDescent="0.3">
      <c r="A122" s="11" t="s">
        <v>23</v>
      </c>
      <c r="B122" s="11" t="s">
        <v>266</v>
      </c>
      <c r="C122" s="12" t="s">
        <v>267</v>
      </c>
      <c r="D122" s="25"/>
      <c r="E122" s="39" t="str">
        <f>HYPERLINK("https://www.google.ru/search?q=1364410-289&amp;newwindow=1&amp;tbm=isch","Еще фото")</f>
        <v>Еще фото</v>
      </c>
      <c r="F122" s="13"/>
      <c r="G122" s="11" t="s">
        <v>28</v>
      </c>
      <c r="H122" s="11" t="s">
        <v>27</v>
      </c>
      <c r="I122" s="14" t="s">
        <v>28</v>
      </c>
      <c r="J122" s="14" t="s">
        <v>212</v>
      </c>
      <c r="K122" s="15" t="s">
        <v>30</v>
      </c>
      <c r="L122" s="14" t="s">
        <v>268</v>
      </c>
      <c r="M122" s="14" t="s">
        <v>214</v>
      </c>
      <c r="N122" s="14" t="s">
        <v>125</v>
      </c>
      <c r="O122" s="14"/>
      <c r="P122" s="15" t="s">
        <v>269</v>
      </c>
      <c r="Q122" s="16">
        <v>8199</v>
      </c>
      <c r="R122" s="17">
        <v>45.12</v>
      </c>
      <c r="S122" s="18">
        <v>5174.9884999999995</v>
      </c>
      <c r="T122" s="19" t="s">
        <v>36</v>
      </c>
      <c r="U122" s="20" t="s">
        <v>270</v>
      </c>
      <c r="V122" s="22">
        <v>50</v>
      </c>
      <c r="W122" s="22">
        <v>1</v>
      </c>
      <c r="X122" s="23"/>
    </row>
    <row r="123" spans="1:24" s="1" customFormat="1" ht="35.1" customHeight="1" x14ac:dyDescent="0.3">
      <c r="A123" s="11" t="s">
        <v>23</v>
      </c>
      <c r="B123" s="11" t="s">
        <v>271</v>
      </c>
      <c r="C123" s="12" t="s">
        <v>272</v>
      </c>
      <c r="D123" s="53"/>
      <c r="E123" s="39" t="str">
        <f>HYPERLINK("https://www.google.ru/search?q=1370351-011&amp;newwindow=1&amp;tbm=isch","Еще фото")</f>
        <v>Еще фото</v>
      </c>
      <c r="F123" s="13"/>
      <c r="G123" s="11" t="s">
        <v>28</v>
      </c>
      <c r="H123" s="11" t="s">
        <v>27</v>
      </c>
      <c r="I123" s="14" t="s">
        <v>28</v>
      </c>
      <c r="J123" s="14" t="s">
        <v>29</v>
      </c>
      <c r="K123" s="15" t="s">
        <v>30</v>
      </c>
      <c r="L123" s="56" t="s">
        <v>273</v>
      </c>
      <c r="M123" s="14" t="s">
        <v>56</v>
      </c>
      <c r="N123" s="14" t="s">
        <v>84</v>
      </c>
      <c r="O123" s="14" t="s">
        <v>34</v>
      </c>
      <c r="P123" s="15" t="s">
        <v>274</v>
      </c>
      <c r="Q123" s="16">
        <v>6899</v>
      </c>
      <c r="R123" s="17">
        <v>45.1</v>
      </c>
      <c r="S123" s="18">
        <v>4355.9354999999996</v>
      </c>
      <c r="T123" s="19" t="s">
        <v>36</v>
      </c>
      <c r="U123" s="20" t="s">
        <v>37</v>
      </c>
      <c r="V123" s="21" t="s">
        <v>38</v>
      </c>
      <c r="W123" s="22">
        <v>1</v>
      </c>
      <c r="X123" s="23"/>
    </row>
    <row r="124" spans="1:24" s="1" customFormat="1" ht="35.1" customHeight="1" x14ac:dyDescent="0.3">
      <c r="A124" s="24" t="s">
        <v>23</v>
      </c>
      <c r="B124" s="24" t="s">
        <v>271</v>
      </c>
      <c r="C124" s="12" t="s">
        <v>272</v>
      </c>
      <c r="D124" s="54"/>
      <c r="E124" s="39" t="str">
        <f>HYPERLINK("https://www.google.ru/search?q=1370351-011&amp;newwindow=1&amp;tbm=isch","Еще фото")</f>
        <v>Еще фото</v>
      </c>
      <c r="F124" s="13"/>
      <c r="G124" s="24" t="s">
        <v>28</v>
      </c>
      <c r="H124" s="24" t="s">
        <v>27</v>
      </c>
      <c r="I124" s="24" t="s">
        <v>28</v>
      </c>
      <c r="J124" s="14" t="s">
        <v>29</v>
      </c>
      <c r="K124" s="15" t="s">
        <v>30</v>
      </c>
      <c r="L124" s="57"/>
      <c r="M124" s="14" t="s">
        <v>56</v>
      </c>
      <c r="N124" s="14" t="s">
        <v>84</v>
      </c>
      <c r="O124" s="14" t="s">
        <v>34</v>
      </c>
      <c r="P124" s="15" t="s">
        <v>274</v>
      </c>
      <c r="Q124" s="16">
        <v>6899</v>
      </c>
      <c r="R124" s="17">
        <v>45.1</v>
      </c>
      <c r="S124" s="18">
        <v>4355.9354999999996</v>
      </c>
      <c r="T124" s="19" t="s">
        <v>36</v>
      </c>
      <c r="U124" s="20" t="s">
        <v>39</v>
      </c>
      <c r="V124" s="21" t="s">
        <v>40</v>
      </c>
      <c r="W124" s="22">
        <v>33</v>
      </c>
      <c r="X124" s="23"/>
    </row>
    <row r="125" spans="1:24" s="1" customFormat="1" ht="36.950000000000003" customHeight="1" x14ac:dyDescent="0.3">
      <c r="A125" s="24" t="s">
        <v>23</v>
      </c>
      <c r="B125" s="24" t="s">
        <v>271</v>
      </c>
      <c r="C125" s="12" t="s">
        <v>272</v>
      </c>
      <c r="D125" s="55"/>
      <c r="E125" s="39" t="str">
        <f>HYPERLINK("https://www.google.ru/search?q=1370351-011&amp;newwindow=1&amp;tbm=isch","Еще фото")</f>
        <v>Еще фото</v>
      </c>
      <c r="F125" s="13"/>
      <c r="G125" s="24" t="s">
        <v>28</v>
      </c>
      <c r="H125" s="24" t="s">
        <v>27</v>
      </c>
      <c r="I125" s="24" t="s">
        <v>28</v>
      </c>
      <c r="J125" s="14" t="s">
        <v>29</v>
      </c>
      <c r="K125" s="15" t="s">
        <v>30</v>
      </c>
      <c r="L125" s="58"/>
      <c r="M125" s="14" t="s">
        <v>56</v>
      </c>
      <c r="N125" s="14" t="s">
        <v>84</v>
      </c>
      <c r="O125" s="14" t="s">
        <v>34</v>
      </c>
      <c r="P125" s="15" t="s">
        <v>274</v>
      </c>
      <c r="Q125" s="16">
        <v>6899</v>
      </c>
      <c r="R125" s="17">
        <v>45.1</v>
      </c>
      <c r="S125" s="18">
        <v>4355.9354999999996</v>
      </c>
      <c r="T125" s="19" t="s">
        <v>36</v>
      </c>
      <c r="U125" s="20" t="s">
        <v>104</v>
      </c>
      <c r="V125" s="21" t="s">
        <v>105</v>
      </c>
      <c r="W125" s="22">
        <v>1</v>
      </c>
      <c r="X125" s="23"/>
    </row>
    <row r="126" spans="1:24" s="1" customFormat="1" ht="108" customHeight="1" x14ac:dyDescent="0.3">
      <c r="A126" s="11" t="s">
        <v>23</v>
      </c>
      <c r="B126" s="11" t="s">
        <v>157</v>
      </c>
      <c r="C126" s="12" t="s">
        <v>275</v>
      </c>
      <c r="D126" s="25"/>
      <c r="E126" s="39" t="str">
        <f>HYPERLINK("https://www.google.ru/search?q=1380843-410&amp;newwindow=1&amp;tbm=isch","Еще фото")</f>
        <v>Еще фото</v>
      </c>
      <c r="F126" s="13" t="s">
        <v>98</v>
      </c>
      <c r="G126" s="11" t="s">
        <v>28</v>
      </c>
      <c r="H126" s="11" t="s">
        <v>27</v>
      </c>
      <c r="I126" s="14" t="s">
        <v>28</v>
      </c>
      <c r="J126" s="14" t="s">
        <v>29</v>
      </c>
      <c r="K126" s="15" t="s">
        <v>30</v>
      </c>
      <c r="L126" s="14" t="s">
        <v>159</v>
      </c>
      <c r="M126" s="14" t="s">
        <v>223</v>
      </c>
      <c r="N126" s="14" t="s">
        <v>91</v>
      </c>
      <c r="O126" s="14"/>
      <c r="P126" s="15" t="s">
        <v>113</v>
      </c>
      <c r="Q126" s="16">
        <v>5099</v>
      </c>
      <c r="R126" s="17">
        <v>45.09</v>
      </c>
      <c r="S126" s="18">
        <v>3219.9884999999995</v>
      </c>
      <c r="T126" s="19" t="s">
        <v>36</v>
      </c>
      <c r="U126" s="20" t="s">
        <v>37</v>
      </c>
      <c r="V126" s="21" t="s">
        <v>38</v>
      </c>
      <c r="W126" s="22">
        <v>1</v>
      </c>
      <c r="X126" s="23"/>
    </row>
    <row r="127" spans="1:24" s="1" customFormat="1" ht="21" customHeight="1" x14ac:dyDescent="0.3">
      <c r="A127" s="11" t="s">
        <v>23</v>
      </c>
      <c r="B127" s="11" t="s">
        <v>276</v>
      </c>
      <c r="C127" s="26" t="s">
        <v>277</v>
      </c>
      <c r="D127" s="53"/>
      <c r="E127" s="39" t="str">
        <f>HYPERLINK("https://www.google.ru/search?q=1386557-289&amp;newwindow=1&amp;tbm=isch","Еще фото")</f>
        <v>Еще фото</v>
      </c>
      <c r="F127" s="13" t="s">
        <v>98</v>
      </c>
      <c r="G127" s="11" t="s">
        <v>28</v>
      </c>
      <c r="H127" s="11" t="s">
        <v>27</v>
      </c>
      <c r="I127" s="14" t="s">
        <v>28</v>
      </c>
      <c r="J127" s="14" t="s">
        <v>47</v>
      </c>
      <c r="K127" s="15" t="s">
        <v>30</v>
      </c>
      <c r="L127" s="56" t="s">
        <v>278</v>
      </c>
      <c r="M127" s="14" t="s">
        <v>32</v>
      </c>
      <c r="N127" s="14" t="s">
        <v>125</v>
      </c>
      <c r="O127" s="14"/>
      <c r="P127" s="15" t="s">
        <v>279</v>
      </c>
      <c r="Q127" s="16">
        <v>6799</v>
      </c>
      <c r="R127" s="17">
        <v>45.02</v>
      </c>
      <c r="S127" s="18">
        <v>4298.4354999999996</v>
      </c>
      <c r="T127" s="19" t="s">
        <v>36</v>
      </c>
      <c r="U127" s="20" t="s">
        <v>37</v>
      </c>
      <c r="V127" s="21" t="s">
        <v>38</v>
      </c>
      <c r="W127" s="22">
        <v>11</v>
      </c>
      <c r="X127" s="23"/>
    </row>
    <row r="128" spans="1:24" s="1" customFormat="1" ht="21" customHeight="1" x14ac:dyDescent="0.3">
      <c r="A128" s="24" t="s">
        <v>23</v>
      </c>
      <c r="B128" s="24" t="s">
        <v>276</v>
      </c>
      <c r="C128" s="27" t="s">
        <v>277</v>
      </c>
      <c r="D128" s="54"/>
      <c r="E128" s="39" t="str">
        <f>HYPERLINK("https://www.google.ru/search?q=1386557-289&amp;newwindow=1&amp;tbm=isch","Еще фото")</f>
        <v>Еще фото</v>
      </c>
      <c r="F128" s="13" t="s">
        <v>98</v>
      </c>
      <c r="G128" s="24" t="s">
        <v>28</v>
      </c>
      <c r="H128" s="24" t="s">
        <v>27</v>
      </c>
      <c r="I128" s="24" t="s">
        <v>28</v>
      </c>
      <c r="J128" s="14" t="s">
        <v>47</v>
      </c>
      <c r="K128" s="15" t="s">
        <v>30</v>
      </c>
      <c r="L128" s="57"/>
      <c r="M128" s="14" t="s">
        <v>32</v>
      </c>
      <c r="N128" s="14" t="s">
        <v>125</v>
      </c>
      <c r="O128" s="14"/>
      <c r="P128" s="15" t="s">
        <v>279</v>
      </c>
      <c r="Q128" s="16">
        <v>6799</v>
      </c>
      <c r="R128" s="17">
        <v>45.02</v>
      </c>
      <c r="S128" s="18">
        <v>4298.4354999999996</v>
      </c>
      <c r="T128" s="19" t="s">
        <v>36</v>
      </c>
      <c r="U128" s="20" t="s">
        <v>39</v>
      </c>
      <c r="V128" s="21" t="s">
        <v>40</v>
      </c>
      <c r="W128" s="22">
        <v>17</v>
      </c>
      <c r="X128" s="23"/>
    </row>
    <row r="129" spans="1:24" s="1" customFormat="1" ht="21" customHeight="1" x14ac:dyDescent="0.3">
      <c r="A129" s="24" t="s">
        <v>23</v>
      </c>
      <c r="B129" s="24" t="s">
        <v>276</v>
      </c>
      <c r="C129" s="27" t="s">
        <v>277</v>
      </c>
      <c r="D129" s="54"/>
      <c r="E129" s="39" t="str">
        <f>HYPERLINK("https://www.google.ru/search?q=1386557-289&amp;newwindow=1&amp;tbm=isch","Еще фото")</f>
        <v>Еще фото</v>
      </c>
      <c r="F129" s="13" t="s">
        <v>98</v>
      </c>
      <c r="G129" s="24" t="s">
        <v>28</v>
      </c>
      <c r="H129" s="24" t="s">
        <v>27</v>
      </c>
      <c r="I129" s="24" t="s">
        <v>28</v>
      </c>
      <c r="J129" s="14" t="s">
        <v>47</v>
      </c>
      <c r="K129" s="15" t="s">
        <v>30</v>
      </c>
      <c r="L129" s="57"/>
      <c r="M129" s="14" t="s">
        <v>32</v>
      </c>
      <c r="N129" s="14" t="s">
        <v>125</v>
      </c>
      <c r="O129" s="14"/>
      <c r="P129" s="15" t="s">
        <v>279</v>
      </c>
      <c r="Q129" s="16">
        <v>6799</v>
      </c>
      <c r="R129" s="17">
        <v>45.02</v>
      </c>
      <c r="S129" s="18">
        <v>4298.4354999999996</v>
      </c>
      <c r="T129" s="19" t="s">
        <v>36</v>
      </c>
      <c r="U129" s="20" t="s">
        <v>41</v>
      </c>
      <c r="V129" s="21" t="s">
        <v>42</v>
      </c>
      <c r="W129" s="22">
        <v>13</v>
      </c>
      <c r="X129" s="23"/>
    </row>
    <row r="130" spans="1:24" s="1" customFormat="1" ht="21" customHeight="1" x14ac:dyDescent="0.3">
      <c r="A130" s="24" t="s">
        <v>23</v>
      </c>
      <c r="B130" s="24" t="s">
        <v>276</v>
      </c>
      <c r="C130" s="27" t="s">
        <v>277</v>
      </c>
      <c r="D130" s="54"/>
      <c r="E130" s="39" t="str">
        <f>HYPERLINK("https://www.google.ru/search?q=1386557-289&amp;newwindow=1&amp;tbm=isch","Еще фото")</f>
        <v>Еще фото</v>
      </c>
      <c r="F130" s="13" t="s">
        <v>98</v>
      </c>
      <c r="G130" s="24" t="s">
        <v>28</v>
      </c>
      <c r="H130" s="24" t="s">
        <v>27</v>
      </c>
      <c r="I130" s="24" t="s">
        <v>28</v>
      </c>
      <c r="J130" s="14" t="s">
        <v>47</v>
      </c>
      <c r="K130" s="15" t="s">
        <v>30</v>
      </c>
      <c r="L130" s="57"/>
      <c r="M130" s="14" t="s">
        <v>32</v>
      </c>
      <c r="N130" s="14" t="s">
        <v>125</v>
      </c>
      <c r="O130" s="14"/>
      <c r="P130" s="15" t="s">
        <v>279</v>
      </c>
      <c r="Q130" s="16">
        <v>6799</v>
      </c>
      <c r="R130" s="17">
        <v>45.02</v>
      </c>
      <c r="S130" s="18">
        <v>4298.4354999999996</v>
      </c>
      <c r="T130" s="19" t="s">
        <v>36</v>
      </c>
      <c r="U130" s="20" t="s">
        <v>43</v>
      </c>
      <c r="V130" s="21" t="s">
        <v>44</v>
      </c>
      <c r="W130" s="22">
        <v>4</v>
      </c>
      <c r="X130" s="23"/>
    </row>
    <row r="131" spans="1:24" s="1" customFormat="1" ht="32.1" customHeight="1" x14ac:dyDescent="0.3">
      <c r="A131" s="24" t="s">
        <v>23</v>
      </c>
      <c r="B131" s="24" t="s">
        <v>276</v>
      </c>
      <c r="C131" s="27" t="s">
        <v>277</v>
      </c>
      <c r="D131" s="55"/>
      <c r="E131" s="39" t="str">
        <f>HYPERLINK("https://www.google.ru/search?q=1386557-289&amp;newwindow=1&amp;tbm=isch","Еще фото")</f>
        <v>Еще фото</v>
      </c>
      <c r="F131" s="13" t="s">
        <v>98</v>
      </c>
      <c r="G131" s="24" t="s">
        <v>28</v>
      </c>
      <c r="H131" s="24" t="s">
        <v>27</v>
      </c>
      <c r="I131" s="24" t="s">
        <v>28</v>
      </c>
      <c r="J131" s="14" t="s">
        <v>47</v>
      </c>
      <c r="K131" s="15" t="s">
        <v>30</v>
      </c>
      <c r="L131" s="58"/>
      <c r="M131" s="14" t="s">
        <v>32</v>
      </c>
      <c r="N131" s="14" t="s">
        <v>125</v>
      </c>
      <c r="O131" s="14"/>
      <c r="P131" s="15" t="s">
        <v>279</v>
      </c>
      <c r="Q131" s="16">
        <v>6799</v>
      </c>
      <c r="R131" s="17">
        <v>45.02</v>
      </c>
      <c r="S131" s="18">
        <v>4298.4354999999996</v>
      </c>
      <c r="T131" s="19" t="s">
        <v>36</v>
      </c>
      <c r="U131" s="20" t="s">
        <v>104</v>
      </c>
      <c r="V131" s="21" t="s">
        <v>105</v>
      </c>
      <c r="W131" s="22">
        <v>2</v>
      </c>
      <c r="X131" s="23"/>
    </row>
    <row r="132" spans="1:24" s="1" customFormat="1" ht="108" customHeight="1" x14ac:dyDescent="0.3">
      <c r="A132" s="11" t="s">
        <v>23</v>
      </c>
      <c r="B132" s="11" t="s">
        <v>280</v>
      </c>
      <c r="C132" s="12" t="s">
        <v>281</v>
      </c>
      <c r="D132" s="25"/>
      <c r="E132" s="39" t="str">
        <f>HYPERLINK("https://www.google.ru/search?q=1290261-001&amp;newwindow=1&amp;tbm=isch","Еще фото")</f>
        <v>Еще фото</v>
      </c>
      <c r="F132" s="13" t="s">
        <v>98</v>
      </c>
      <c r="G132" s="11" t="s">
        <v>28</v>
      </c>
      <c r="H132" s="11" t="s">
        <v>27</v>
      </c>
      <c r="I132" s="14" t="s">
        <v>28</v>
      </c>
      <c r="J132" s="14" t="s">
        <v>29</v>
      </c>
      <c r="K132" s="15" t="s">
        <v>30</v>
      </c>
      <c r="L132" s="14" t="s">
        <v>189</v>
      </c>
      <c r="M132" s="14" t="s">
        <v>49</v>
      </c>
      <c r="N132" s="14" t="s">
        <v>33</v>
      </c>
      <c r="O132" s="14" t="s">
        <v>34</v>
      </c>
      <c r="P132" s="15" t="s">
        <v>133</v>
      </c>
      <c r="Q132" s="16">
        <v>5799</v>
      </c>
      <c r="R132" s="17">
        <v>40</v>
      </c>
      <c r="S132" s="18">
        <v>4001.31</v>
      </c>
      <c r="T132" s="19" t="s">
        <v>36</v>
      </c>
      <c r="U132" s="20" t="s">
        <v>37</v>
      </c>
      <c r="V132" s="21" t="s">
        <v>38</v>
      </c>
      <c r="W132" s="22">
        <v>29</v>
      </c>
      <c r="X132" s="23"/>
    </row>
    <row r="133" spans="1:24" s="1" customFormat="1" ht="51.95" customHeight="1" x14ac:dyDescent="0.3">
      <c r="A133" s="11" t="s">
        <v>23</v>
      </c>
      <c r="B133" s="11" t="s">
        <v>187</v>
      </c>
      <c r="C133" s="12" t="s">
        <v>282</v>
      </c>
      <c r="D133" s="59"/>
      <c r="E133" s="39" t="str">
        <f>HYPERLINK("https://www.google.ru/search?q=1290261-011&amp;newwindow=1&amp;tbm=isch","Еще фото")</f>
        <v>Еще фото</v>
      </c>
      <c r="F133" s="13"/>
      <c r="G133" s="11" t="s">
        <v>28</v>
      </c>
      <c r="H133" s="11" t="s">
        <v>27</v>
      </c>
      <c r="I133" s="14" t="s">
        <v>28</v>
      </c>
      <c r="J133" s="14" t="s">
        <v>29</v>
      </c>
      <c r="K133" s="15" t="s">
        <v>30</v>
      </c>
      <c r="L133" s="56" t="s">
        <v>251</v>
      </c>
      <c r="M133" s="14"/>
      <c r="N133" s="14" t="s">
        <v>283</v>
      </c>
      <c r="O133" s="14"/>
      <c r="P133" s="15" t="s">
        <v>51</v>
      </c>
      <c r="Q133" s="16">
        <v>8399</v>
      </c>
      <c r="R133" s="17">
        <v>40</v>
      </c>
      <c r="S133" s="18">
        <v>5795.3099999999995</v>
      </c>
      <c r="T133" s="19" t="s">
        <v>36</v>
      </c>
      <c r="U133" s="20" t="s">
        <v>69</v>
      </c>
      <c r="V133" s="21" t="s">
        <v>75</v>
      </c>
      <c r="W133" s="22">
        <v>1</v>
      </c>
      <c r="X133" s="23"/>
    </row>
    <row r="134" spans="1:24" s="1" customFormat="1" ht="60.95" customHeight="1" x14ac:dyDescent="0.3">
      <c r="A134" s="24" t="s">
        <v>23</v>
      </c>
      <c r="B134" s="24" t="s">
        <v>187</v>
      </c>
      <c r="C134" s="12" t="s">
        <v>282</v>
      </c>
      <c r="D134" s="60"/>
      <c r="E134" s="39" t="str">
        <f>HYPERLINK("https://www.google.ru/search?q=1290261-011&amp;newwindow=1&amp;tbm=isch","Еще фото")</f>
        <v>Еще фото</v>
      </c>
      <c r="F134" s="13"/>
      <c r="G134" s="24" t="s">
        <v>28</v>
      </c>
      <c r="H134" s="24" t="s">
        <v>27</v>
      </c>
      <c r="I134" s="24" t="s">
        <v>28</v>
      </c>
      <c r="J134" s="14" t="s">
        <v>29</v>
      </c>
      <c r="K134" s="15" t="s">
        <v>30</v>
      </c>
      <c r="L134" s="58"/>
      <c r="M134" s="14"/>
      <c r="N134" s="14" t="s">
        <v>283</v>
      </c>
      <c r="O134" s="14"/>
      <c r="P134" s="15" t="s">
        <v>51</v>
      </c>
      <c r="Q134" s="16">
        <v>8399</v>
      </c>
      <c r="R134" s="17">
        <v>40</v>
      </c>
      <c r="S134" s="18">
        <v>5795.3099999999995</v>
      </c>
      <c r="T134" s="19" t="s">
        <v>36</v>
      </c>
      <c r="U134" s="20" t="s">
        <v>37</v>
      </c>
      <c r="V134" s="21" t="s">
        <v>38</v>
      </c>
      <c r="W134" s="22">
        <v>9</v>
      </c>
      <c r="X134" s="23"/>
    </row>
    <row r="135" spans="1:24" s="1" customFormat="1" ht="51.95" customHeight="1" x14ac:dyDescent="0.3">
      <c r="A135" s="11" t="s">
        <v>23</v>
      </c>
      <c r="B135" s="11" t="s">
        <v>280</v>
      </c>
      <c r="C135" s="12" t="s">
        <v>284</v>
      </c>
      <c r="D135" s="59"/>
      <c r="E135" s="39" t="str">
        <f>HYPERLINK("https://www.google.ru/search?q=1290261-090&amp;newwindow=1&amp;tbm=isch","Еще фото")</f>
        <v>Еще фото</v>
      </c>
      <c r="F135" s="13" t="s">
        <v>98</v>
      </c>
      <c r="G135" s="11" t="s">
        <v>28</v>
      </c>
      <c r="H135" s="11" t="s">
        <v>27</v>
      </c>
      <c r="I135" s="14" t="s">
        <v>28</v>
      </c>
      <c r="J135" s="14" t="s">
        <v>29</v>
      </c>
      <c r="K135" s="15" t="s">
        <v>30</v>
      </c>
      <c r="L135" s="56" t="s">
        <v>285</v>
      </c>
      <c r="M135" s="14" t="s">
        <v>49</v>
      </c>
      <c r="N135" s="14" t="s">
        <v>84</v>
      </c>
      <c r="O135" s="14" t="s">
        <v>34</v>
      </c>
      <c r="P135" s="15" t="s">
        <v>133</v>
      </c>
      <c r="Q135" s="16">
        <v>5799</v>
      </c>
      <c r="R135" s="17">
        <v>40</v>
      </c>
      <c r="S135" s="18">
        <v>4001.31</v>
      </c>
      <c r="T135" s="19" t="s">
        <v>36</v>
      </c>
      <c r="U135" s="20" t="s">
        <v>37</v>
      </c>
      <c r="V135" s="21" t="s">
        <v>38</v>
      </c>
      <c r="W135" s="22">
        <v>51</v>
      </c>
      <c r="X135" s="23"/>
    </row>
    <row r="136" spans="1:24" s="1" customFormat="1" ht="60.95" customHeight="1" x14ac:dyDescent="0.3">
      <c r="A136" s="24" t="s">
        <v>23</v>
      </c>
      <c r="B136" s="24" t="s">
        <v>280</v>
      </c>
      <c r="C136" s="12" t="s">
        <v>284</v>
      </c>
      <c r="D136" s="60"/>
      <c r="E136" s="39" t="str">
        <f>HYPERLINK("https://www.google.ru/search?q=1290261-090&amp;newwindow=1&amp;tbm=isch","Еще фото")</f>
        <v>Еще фото</v>
      </c>
      <c r="F136" s="13" t="s">
        <v>98</v>
      </c>
      <c r="G136" s="24" t="s">
        <v>28</v>
      </c>
      <c r="H136" s="24" t="s">
        <v>27</v>
      </c>
      <c r="I136" s="24" t="s">
        <v>28</v>
      </c>
      <c r="J136" s="14" t="s">
        <v>29</v>
      </c>
      <c r="K136" s="15" t="s">
        <v>30</v>
      </c>
      <c r="L136" s="58"/>
      <c r="M136" s="14" t="s">
        <v>49</v>
      </c>
      <c r="N136" s="14" t="s">
        <v>84</v>
      </c>
      <c r="O136" s="14" t="s">
        <v>34</v>
      </c>
      <c r="P136" s="15" t="s">
        <v>133</v>
      </c>
      <c r="Q136" s="16">
        <v>5799</v>
      </c>
      <c r="R136" s="17">
        <v>40</v>
      </c>
      <c r="S136" s="18">
        <v>4001.31</v>
      </c>
      <c r="T136" s="19" t="s">
        <v>36</v>
      </c>
      <c r="U136" s="20" t="s">
        <v>39</v>
      </c>
      <c r="V136" s="21" t="s">
        <v>40</v>
      </c>
      <c r="W136" s="22">
        <v>57</v>
      </c>
      <c r="X136" s="23"/>
    </row>
    <row r="137" spans="1:24" s="1" customFormat="1" ht="108" customHeight="1" x14ac:dyDescent="0.3">
      <c r="A137" s="11" t="s">
        <v>23</v>
      </c>
      <c r="B137" s="11" t="s">
        <v>187</v>
      </c>
      <c r="C137" s="12" t="s">
        <v>286</v>
      </c>
      <c r="D137" s="25"/>
      <c r="E137" s="39" t="str">
        <f>HYPERLINK("https://www.google.ru/search?q=1290261-390&amp;newwindow=1&amp;tbm=isch","Еще фото")</f>
        <v>Еще фото</v>
      </c>
      <c r="F137" s="13" t="s">
        <v>98</v>
      </c>
      <c r="G137" s="11" t="s">
        <v>28</v>
      </c>
      <c r="H137" s="11" t="s">
        <v>27</v>
      </c>
      <c r="I137" s="14" t="s">
        <v>28</v>
      </c>
      <c r="J137" s="14" t="s">
        <v>29</v>
      </c>
      <c r="K137" s="15" t="s">
        <v>30</v>
      </c>
      <c r="L137" s="14" t="s">
        <v>189</v>
      </c>
      <c r="M137" s="14" t="s">
        <v>49</v>
      </c>
      <c r="N137" s="14" t="s">
        <v>125</v>
      </c>
      <c r="O137" s="14" t="s">
        <v>34</v>
      </c>
      <c r="P137" s="15" t="s">
        <v>133</v>
      </c>
      <c r="Q137" s="16">
        <v>5799</v>
      </c>
      <c r="R137" s="17">
        <v>40</v>
      </c>
      <c r="S137" s="18">
        <v>4001.31</v>
      </c>
      <c r="T137" s="19" t="s">
        <v>36</v>
      </c>
      <c r="U137" s="20" t="s">
        <v>39</v>
      </c>
      <c r="V137" s="21" t="s">
        <v>40</v>
      </c>
      <c r="W137" s="22">
        <v>11</v>
      </c>
      <c r="X137" s="23"/>
    </row>
    <row r="138" spans="1:24" s="1" customFormat="1" ht="51.95" customHeight="1" x14ac:dyDescent="0.3">
      <c r="A138" s="11" t="s">
        <v>23</v>
      </c>
      <c r="B138" s="11" t="s">
        <v>287</v>
      </c>
      <c r="C138" s="12" t="s">
        <v>288</v>
      </c>
      <c r="D138" s="59"/>
      <c r="E138" s="39" t="str">
        <f>HYPERLINK("https://www.google.ru/search?q=1342718-001&amp;newwindow=1&amp;tbm=isch","Еще фото")</f>
        <v>Еще фото</v>
      </c>
      <c r="F138" s="13"/>
      <c r="G138" s="11" t="s">
        <v>28</v>
      </c>
      <c r="H138" s="11" t="s">
        <v>27</v>
      </c>
      <c r="I138" s="14" t="s">
        <v>28</v>
      </c>
      <c r="J138" s="14" t="s">
        <v>212</v>
      </c>
      <c r="K138" s="15" t="s">
        <v>30</v>
      </c>
      <c r="L138" s="56" t="s">
        <v>289</v>
      </c>
      <c r="M138" s="14" t="s">
        <v>32</v>
      </c>
      <c r="N138" s="14" t="s">
        <v>33</v>
      </c>
      <c r="O138" s="14"/>
      <c r="P138" s="15" t="s">
        <v>51</v>
      </c>
      <c r="Q138" s="16">
        <v>24999</v>
      </c>
      <c r="R138" s="17">
        <v>40</v>
      </c>
      <c r="S138" s="18">
        <v>17249.309999999998</v>
      </c>
      <c r="T138" s="19" t="s">
        <v>36</v>
      </c>
      <c r="U138" s="20" t="s">
        <v>39</v>
      </c>
      <c r="V138" s="21" t="s">
        <v>40</v>
      </c>
      <c r="W138" s="22">
        <v>3</v>
      </c>
      <c r="X138" s="23"/>
    </row>
    <row r="139" spans="1:24" s="1" customFormat="1" ht="60.95" customHeight="1" x14ac:dyDescent="0.3">
      <c r="A139" s="24" t="s">
        <v>23</v>
      </c>
      <c r="B139" s="24" t="s">
        <v>287</v>
      </c>
      <c r="C139" s="12" t="s">
        <v>288</v>
      </c>
      <c r="D139" s="60"/>
      <c r="E139" s="39" t="str">
        <f>HYPERLINK("https://www.google.ru/search?q=1342718-001&amp;newwindow=1&amp;tbm=isch","Еще фото")</f>
        <v>Еще фото</v>
      </c>
      <c r="F139" s="13"/>
      <c r="G139" s="24" t="s">
        <v>28</v>
      </c>
      <c r="H139" s="24" t="s">
        <v>27</v>
      </c>
      <c r="I139" s="24" t="s">
        <v>28</v>
      </c>
      <c r="J139" s="14" t="s">
        <v>212</v>
      </c>
      <c r="K139" s="15" t="s">
        <v>30</v>
      </c>
      <c r="L139" s="58"/>
      <c r="M139" s="14" t="s">
        <v>32</v>
      </c>
      <c r="N139" s="14" t="s">
        <v>33</v>
      </c>
      <c r="O139" s="14"/>
      <c r="P139" s="15" t="s">
        <v>51</v>
      </c>
      <c r="Q139" s="16">
        <v>24999</v>
      </c>
      <c r="R139" s="17">
        <v>40</v>
      </c>
      <c r="S139" s="18">
        <v>17249.309999999998</v>
      </c>
      <c r="T139" s="19" t="s">
        <v>36</v>
      </c>
      <c r="U139" s="20" t="s">
        <v>41</v>
      </c>
      <c r="V139" s="21" t="s">
        <v>42</v>
      </c>
      <c r="W139" s="22">
        <v>2</v>
      </c>
      <c r="X139" s="23"/>
    </row>
    <row r="140" spans="1:24" s="1" customFormat="1" ht="108" customHeight="1" x14ac:dyDescent="0.3">
      <c r="A140" s="11" t="s">
        <v>23</v>
      </c>
      <c r="B140" s="11" t="s">
        <v>290</v>
      </c>
      <c r="C140" s="12" t="s">
        <v>291</v>
      </c>
      <c r="D140" s="25"/>
      <c r="E140" s="39" t="str">
        <f>HYPERLINK("https://www.google.ru/search?q=1352028-299&amp;newwindow=1&amp;tbm=isch","Еще фото")</f>
        <v>Еще фото</v>
      </c>
      <c r="F140" s="13"/>
      <c r="G140" s="11" t="s">
        <v>28</v>
      </c>
      <c r="H140" s="11" t="s">
        <v>27</v>
      </c>
      <c r="I140" s="14" t="s">
        <v>28</v>
      </c>
      <c r="J140" s="14" t="s">
        <v>47</v>
      </c>
      <c r="K140" s="15" t="s">
        <v>30</v>
      </c>
      <c r="L140" s="14" t="s">
        <v>292</v>
      </c>
      <c r="M140" s="14" t="s">
        <v>32</v>
      </c>
      <c r="N140" s="14" t="s">
        <v>215</v>
      </c>
      <c r="O140" s="14"/>
      <c r="P140" s="15" t="s">
        <v>185</v>
      </c>
      <c r="Q140" s="16">
        <v>8299</v>
      </c>
      <c r="R140" s="17">
        <v>40</v>
      </c>
      <c r="S140" s="18">
        <v>5726.3099999999995</v>
      </c>
      <c r="T140" s="19" t="s">
        <v>36</v>
      </c>
      <c r="U140" s="20" t="s">
        <v>39</v>
      </c>
      <c r="V140" s="21" t="s">
        <v>40</v>
      </c>
      <c r="W140" s="22">
        <v>1</v>
      </c>
      <c r="X140" s="23"/>
    </row>
    <row r="141" spans="1:24" s="1" customFormat="1" ht="51.95" customHeight="1" x14ac:dyDescent="0.3">
      <c r="A141" s="11" t="s">
        <v>23</v>
      </c>
      <c r="B141" s="11" t="s">
        <v>52</v>
      </c>
      <c r="C141" s="12" t="s">
        <v>293</v>
      </c>
      <c r="D141" s="59"/>
      <c r="E141" s="39" t="str">
        <f>HYPERLINK("https://www.google.ru/search?q=1356416-035&amp;newwindow=1&amp;tbm=isch","Еще фото")</f>
        <v>Еще фото</v>
      </c>
      <c r="F141" s="13"/>
      <c r="G141" s="11" t="s">
        <v>28</v>
      </c>
      <c r="H141" s="11" t="s">
        <v>27</v>
      </c>
      <c r="I141" s="14" t="s">
        <v>28</v>
      </c>
      <c r="J141" s="14" t="s">
        <v>29</v>
      </c>
      <c r="K141" s="15" t="s">
        <v>64</v>
      </c>
      <c r="L141" s="56" t="s">
        <v>294</v>
      </c>
      <c r="M141" s="14" t="s">
        <v>56</v>
      </c>
      <c r="N141" s="14" t="s">
        <v>84</v>
      </c>
      <c r="O141" s="14"/>
      <c r="P141" s="15" t="s">
        <v>274</v>
      </c>
      <c r="Q141" s="16">
        <v>7199</v>
      </c>
      <c r="R141" s="17">
        <v>40</v>
      </c>
      <c r="S141" s="18">
        <v>4967.3099999999995</v>
      </c>
      <c r="T141" s="19" t="s">
        <v>36</v>
      </c>
      <c r="U141" s="20" t="s">
        <v>37</v>
      </c>
      <c r="V141" s="21" t="s">
        <v>86</v>
      </c>
      <c r="W141" s="22">
        <v>1</v>
      </c>
      <c r="X141" s="23"/>
    </row>
    <row r="142" spans="1:24" s="1" customFormat="1" ht="60.95" customHeight="1" x14ac:dyDescent="0.3">
      <c r="A142" s="24" t="s">
        <v>23</v>
      </c>
      <c r="B142" s="24" t="s">
        <v>52</v>
      </c>
      <c r="C142" s="12" t="s">
        <v>293</v>
      </c>
      <c r="D142" s="60"/>
      <c r="E142" s="39" t="str">
        <f>HYPERLINK("https://www.google.ru/search?q=1356416-035&amp;newwindow=1&amp;tbm=isch","Еще фото")</f>
        <v>Еще фото</v>
      </c>
      <c r="F142" s="13"/>
      <c r="G142" s="24" t="s">
        <v>28</v>
      </c>
      <c r="H142" s="24" t="s">
        <v>27</v>
      </c>
      <c r="I142" s="24" t="s">
        <v>28</v>
      </c>
      <c r="J142" s="14" t="s">
        <v>29</v>
      </c>
      <c r="K142" s="15" t="s">
        <v>64</v>
      </c>
      <c r="L142" s="58"/>
      <c r="M142" s="14" t="s">
        <v>56</v>
      </c>
      <c r="N142" s="14" t="s">
        <v>84</v>
      </c>
      <c r="O142" s="14"/>
      <c r="P142" s="15" t="s">
        <v>274</v>
      </c>
      <c r="Q142" s="16">
        <v>7199</v>
      </c>
      <c r="R142" s="17">
        <v>40</v>
      </c>
      <c r="S142" s="18">
        <v>4967.3099999999995</v>
      </c>
      <c r="T142" s="19" t="s">
        <v>36</v>
      </c>
      <c r="U142" s="20" t="s">
        <v>39</v>
      </c>
      <c r="V142" s="21" t="s">
        <v>38</v>
      </c>
      <c r="W142" s="22">
        <v>2</v>
      </c>
      <c r="X142" s="23"/>
    </row>
    <row r="143" spans="1:24" s="1" customFormat="1" ht="108" customHeight="1" x14ac:dyDescent="0.3">
      <c r="A143" s="11" t="s">
        <v>23</v>
      </c>
      <c r="B143" s="11" t="s">
        <v>52</v>
      </c>
      <c r="C143" s="12" t="s">
        <v>295</v>
      </c>
      <c r="D143" s="25"/>
      <c r="E143" s="39" t="str">
        <f>HYPERLINK("https://www.google.ru/search?q=1356416-558&amp;newwindow=1&amp;tbm=isch","Еще фото")</f>
        <v>Еще фото</v>
      </c>
      <c r="F143" s="13"/>
      <c r="G143" s="11" t="s">
        <v>28</v>
      </c>
      <c r="H143" s="11" t="s">
        <v>27</v>
      </c>
      <c r="I143" s="14" t="s">
        <v>28</v>
      </c>
      <c r="J143" s="14" t="s">
        <v>29</v>
      </c>
      <c r="K143" s="15" t="s">
        <v>64</v>
      </c>
      <c r="L143" s="14" t="s">
        <v>296</v>
      </c>
      <c r="M143" s="14" t="s">
        <v>56</v>
      </c>
      <c r="N143" s="14" t="s">
        <v>84</v>
      </c>
      <c r="O143" s="14"/>
      <c r="P143" s="15" t="s">
        <v>113</v>
      </c>
      <c r="Q143" s="16">
        <v>6899</v>
      </c>
      <c r="R143" s="17">
        <v>40</v>
      </c>
      <c r="S143" s="18">
        <v>4760.3099999999995</v>
      </c>
      <c r="T143" s="19" t="s">
        <v>36</v>
      </c>
      <c r="U143" s="20" t="s">
        <v>37</v>
      </c>
      <c r="V143" s="21" t="s">
        <v>86</v>
      </c>
      <c r="W143" s="22">
        <v>1</v>
      </c>
      <c r="X143" s="23"/>
    </row>
    <row r="144" spans="1:24" s="1" customFormat="1" ht="108" customHeight="1" x14ac:dyDescent="0.3">
      <c r="A144" s="11" t="s">
        <v>23</v>
      </c>
      <c r="B144" s="11" t="s">
        <v>297</v>
      </c>
      <c r="C144" s="12" t="s">
        <v>298</v>
      </c>
      <c r="D144" s="25"/>
      <c r="E144" s="39" t="str">
        <f>HYPERLINK("https://www.google.ru/search?q=1356463-035&amp;newwindow=1&amp;tbm=isch","Еще фото")</f>
        <v>Еще фото</v>
      </c>
      <c r="F144" s="13"/>
      <c r="G144" s="11" t="s">
        <v>63</v>
      </c>
      <c r="H144" s="11" t="s">
        <v>27</v>
      </c>
      <c r="I144" s="14" t="s">
        <v>28</v>
      </c>
      <c r="J144" s="14" t="s">
        <v>29</v>
      </c>
      <c r="K144" s="15" t="s">
        <v>54</v>
      </c>
      <c r="L144" s="14" t="s">
        <v>299</v>
      </c>
      <c r="M144" s="14"/>
      <c r="N144" s="14" t="s">
        <v>84</v>
      </c>
      <c r="O144" s="14"/>
      <c r="P144" s="15" t="s">
        <v>300</v>
      </c>
      <c r="Q144" s="16">
        <v>3199</v>
      </c>
      <c r="R144" s="17">
        <v>40</v>
      </c>
      <c r="S144" s="18">
        <v>2207.31</v>
      </c>
      <c r="T144" s="19" t="s">
        <v>36</v>
      </c>
      <c r="U144" s="20" t="s">
        <v>130</v>
      </c>
      <c r="V144" s="21" t="s">
        <v>131</v>
      </c>
      <c r="W144" s="22">
        <v>2</v>
      </c>
      <c r="X144" s="23"/>
    </row>
    <row r="145" spans="1:24" s="1" customFormat="1" ht="108" customHeight="1" x14ac:dyDescent="0.3">
      <c r="A145" s="11" t="s">
        <v>23</v>
      </c>
      <c r="B145" s="11" t="s">
        <v>301</v>
      </c>
      <c r="C145" s="12" t="s">
        <v>302</v>
      </c>
      <c r="D145" s="25"/>
      <c r="E145" s="39" t="str">
        <f>HYPERLINK("https://www.google.ru/search?q=1357123-310&amp;newwindow=1&amp;tbm=isch","Еще фото")</f>
        <v>Еще фото</v>
      </c>
      <c r="F145" s="13"/>
      <c r="G145" s="11" t="s">
        <v>28</v>
      </c>
      <c r="H145" s="11" t="s">
        <v>27</v>
      </c>
      <c r="I145" s="14" t="s">
        <v>28</v>
      </c>
      <c r="J145" s="14" t="s">
        <v>29</v>
      </c>
      <c r="K145" s="15" t="s">
        <v>30</v>
      </c>
      <c r="L145" s="14" t="s">
        <v>303</v>
      </c>
      <c r="M145" s="14" t="s">
        <v>90</v>
      </c>
      <c r="N145" s="14" t="s">
        <v>125</v>
      </c>
      <c r="O145" s="14"/>
      <c r="P145" s="15" t="s">
        <v>51</v>
      </c>
      <c r="Q145" s="16">
        <v>7199</v>
      </c>
      <c r="R145" s="17">
        <v>40</v>
      </c>
      <c r="S145" s="18">
        <v>4967.3099999999995</v>
      </c>
      <c r="T145" s="19" t="s">
        <v>36</v>
      </c>
      <c r="U145" s="20" t="s">
        <v>39</v>
      </c>
      <c r="V145" s="21" t="s">
        <v>40</v>
      </c>
      <c r="W145" s="22">
        <v>1</v>
      </c>
      <c r="X145" s="23"/>
    </row>
    <row r="146" spans="1:24" s="1" customFormat="1" ht="26.1" customHeight="1" x14ac:dyDescent="0.3">
      <c r="A146" s="11" t="s">
        <v>23</v>
      </c>
      <c r="B146" s="11" t="s">
        <v>304</v>
      </c>
      <c r="C146" s="12" t="s">
        <v>305</v>
      </c>
      <c r="D146" s="53"/>
      <c r="E146" s="39" t="str">
        <f>HYPERLINK("https://www.google.ru/search?q=1359547-554&amp;newwindow=1&amp;tbm=isch","Еще фото")</f>
        <v>Еще фото</v>
      </c>
      <c r="F146" s="13"/>
      <c r="G146" s="11" t="s">
        <v>63</v>
      </c>
      <c r="H146" s="11" t="s">
        <v>27</v>
      </c>
      <c r="I146" s="14" t="s">
        <v>28</v>
      </c>
      <c r="J146" s="14" t="s">
        <v>29</v>
      </c>
      <c r="K146" s="15" t="s">
        <v>64</v>
      </c>
      <c r="L146" s="56" t="s">
        <v>306</v>
      </c>
      <c r="M146" s="14" t="s">
        <v>307</v>
      </c>
      <c r="N146" s="14" t="s">
        <v>67</v>
      </c>
      <c r="O146" s="14" t="s">
        <v>34</v>
      </c>
      <c r="P146" s="15" t="s">
        <v>68</v>
      </c>
      <c r="Q146" s="16">
        <v>10999</v>
      </c>
      <c r="R146" s="17">
        <v>40</v>
      </c>
      <c r="S146" s="18">
        <v>7589.3099999999986</v>
      </c>
      <c r="T146" s="19" t="s">
        <v>36</v>
      </c>
      <c r="U146" s="20" t="s">
        <v>69</v>
      </c>
      <c r="V146" s="21" t="s">
        <v>70</v>
      </c>
      <c r="W146" s="22">
        <v>4</v>
      </c>
      <c r="X146" s="23"/>
    </row>
    <row r="147" spans="1:24" s="1" customFormat="1" ht="26.1" customHeight="1" x14ac:dyDescent="0.3">
      <c r="A147" s="24" t="s">
        <v>23</v>
      </c>
      <c r="B147" s="24" t="s">
        <v>304</v>
      </c>
      <c r="C147" s="12" t="s">
        <v>305</v>
      </c>
      <c r="D147" s="54"/>
      <c r="E147" s="39" t="str">
        <f>HYPERLINK("https://www.google.ru/search?q=1359547-554&amp;newwindow=1&amp;tbm=isch","Еще фото")</f>
        <v>Еще фото</v>
      </c>
      <c r="F147" s="13"/>
      <c r="G147" s="24" t="s">
        <v>63</v>
      </c>
      <c r="H147" s="24" t="s">
        <v>27</v>
      </c>
      <c r="I147" s="24" t="s">
        <v>28</v>
      </c>
      <c r="J147" s="14" t="s">
        <v>29</v>
      </c>
      <c r="K147" s="15" t="s">
        <v>64</v>
      </c>
      <c r="L147" s="57"/>
      <c r="M147" s="14" t="s">
        <v>307</v>
      </c>
      <c r="N147" s="14" t="s">
        <v>67</v>
      </c>
      <c r="O147" s="14" t="s">
        <v>34</v>
      </c>
      <c r="P147" s="15" t="s">
        <v>68</v>
      </c>
      <c r="Q147" s="16">
        <v>10999</v>
      </c>
      <c r="R147" s="17">
        <v>40</v>
      </c>
      <c r="S147" s="18">
        <v>7589.3099999999986</v>
      </c>
      <c r="T147" s="19" t="s">
        <v>36</v>
      </c>
      <c r="U147" s="20" t="s">
        <v>37</v>
      </c>
      <c r="V147" s="21" t="s">
        <v>86</v>
      </c>
      <c r="W147" s="22">
        <v>2</v>
      </c>
      <c r="X147" s="23"/>
    </row>
    <row r="148" spans="1:24" s="1" customFormat="1" ht="26.1" customHeight="1" x14ac:dyDescent="0.3">
      <c r="A148" s="24" t="s">
        <v>23</v>
      </c>
      <c r="B148" s="24" t="s">
        <v>304</v>
      </c>
      <c r="C148" s="12" t="s">
        <v>305</v>
      </c>
      <c r="D148" s="54"/>
      <c r="E148" s="39" t="str">
        <f>HYPERLINK("https://www.google.ru/search?q=1359547-554&amp;newwindow=1&amp;tbm=isch","Еще фото")</f>
        <v>Еще фото</v>
      </c>
      <c r="F148" s="13"/>
      <c r="G148" s="24" t="s">
        <v>63</v>
      </c>
      <c r="H148" s="24" t="s">
        <v>27</v>
      </c>
      <c r="I148" s="24" t="s">
        <v>28</v>
      </c>
      <c r="J148" s="14" t="s">
        <v>29</v>
      </c>
      <c r="K148" s="15" t="s">
        <v>64</v>
      </c>
      <c r="L148" s="57"/>
      <c r="M148" s="14" t="s">
        <v>307</v>
      </c>
      <c r="N148" s="14" t="s">
        <v>67</v>
      </c>
      <c r="O148" s="14" t="s">
        <v>34</v>
      </c>
      <c r="P148" s="15" t="s">
        <v>68</v>
      </c>
      <c r="Q148" s="16">
        <v>10999</v>
      </c>
      <c r="R148" s="17">
        <v>40</v>
      </c>
      <c r="S148" s="18">
        <v>7589.3099999999986</v>
      </c>
      <c r="T148" s="19" t="s">
        <v>36</v>
      </c>
      <c r="U148" s="20" t="s">
        <v>39</v>
      </c>
      <c r="V148" s="21" t="s">
        <v>38</v>
      </c>
      <c r="W148" s="22">
        <v>1</v>
      </c>
      <c r="X148" s="23"/>
    </row>
    <row r="149" spans="1:24" s="1" customFormat="1" ht="26.1" customHeight="1" x14ac:dyDescent="0.3">
      <c r="A149" s="24" t="s">
        <v>23</v>
      </c>
      <c r="B149" s="24" t="s">
        <v>304</v>
      </c>
      <c r="C149" s="12" t="s">
        <v>305</v>
      </c>
      <c r="D149" s="55"/>
      <c r="E149" s="39" t="str">
        <f>HYPERLINK("https://www.google.ru/search?q=1359547-554&amp;newwindow=1&amp;tbm=isch","Еще фото")</f>
        <v>Еще фото</v>
      </c>
      <c r="F149" s="13"/>
      <c r="G149" s="24" t="s">
        <v>63</v>
      </c>
      <c r="H149" s="24" t="s">
        <v>27</v>
      </c>
      <c r="I149" s="24" t="s">
        <v>28</v>
      </c>
      <c r="J149" s="14" t="s">
        <v>29</v>
      </c>
      <c r="K149" s="15" t="s">
        <v>64</v>
      </c>
      <c r="L149" s="58"/>
      <c r="M149" s="14" t="s">
        <v>307</v>
      </c>
      <c r="N149" s="14" t="s">
        <v>67</v>
      </c>
      <c r="O149" s="14" t="s">
        <v>34</v>
      </c>
      <c r="P149" s="15" t="s">
        <v>68</v>
      </c>
      <c r="Q149" s="16">
        <v>10999</v>
      </c>
      <c r="R149" s="17">
        <v>40</v>
      </c>
      <c r="S149" s="18">
        <v>7589.3099999999986</v>
      </c>
      <c r="T149" s="19" t="s">
        <v>36</v>
      </c>
      <c r="U149" s="20" t="s">
        <v>41</v>
      </c>
      <c r="V149" s="21" t="s">
        <v>40</v>
      </c>
      <c r="W149" s="22">
        <v>2</v>
      </c>
      <c r="X149" s="23"/>
    </row>
    <row r="150" spans="1:24" s="1" customFormat="1" ht="51.95" customHeight="1" x14ac:dyDescent="0.3">
      <c r="A150" s="11" t="s">
        <v>23</v>
      </c>
      <c r="B150" s="11" t="s">
        <v>308</v>
      </c>
      <c r="C150" s="12" t="s">
        <v>309</v>
      </c>
      <c r="D150" s="59"/>
      <c r="E150" s="39" t="str">
        <f>HYPERLINK("https://www.google.ru/search?q=1361586-001&amp;newwindow=1&amp;tbm=isch","Еще фото")</f>
        <v>Еще фото</v>
      </c>
      <c r="F150" s="13" t="s">
        <v>310</v>
      </c>
      <c r="G150" s="11" t="s">
        <v>63</v>
      </c>
      <c r="H150" s="11" t="s">
        <v>27</v>
      </c>
      <c r="I150" s="14" t="s">
        <v>28</v>
      </c>
      <c r="J150" s="14" t="s">
        <v>29</v>
      </c>
      <c r="K150" s="15" t="s">
        <v>30</v>
      </c>
      <c r="L150" s="56" t="s">
        <v>311</v>
      </c>
      <c r="M150" s="14" t="s">
        <v>66</v>
      </c>
      <c r="N150" s="14" t="s">
        <v>33</v>
      </c>
      <c r="O150" s="14"/>
      <c r="P150" s="15" t="s">
        <v>312</v>
      </c>
      <c r="Q150" s="16">
        <v>4799</v>
      </c>
      <c r="R150" s="17">
        <v>40</v>
      </c>
      <c r="S150" s="18">
        <v>3311.31</v>
      </c>
      <c r="T150" s="19" t="s">
        <v>36</v>
      </c>
      <c r="U150" s="20" t="s">
        <v>37</v>
      </c>
      <c r="V150" s="21" t="s">
        <v>38</v>
      </c>
      <c r="W150" s="22">
        <v>54</v>
      </c>
      <c r="X150" s="23"/>
    </row>
    <row r="151" spans="1:24" s="1" customFormat="1" ht="60.95" customHeight="1" x14ac:dyDescent="0.3">
      <c r="A151" s="24" t="s">
        <v>23</v>
      </c>
      <c r="B151" s="24" t="s">
        <v>308</v>
      </c>
      <c r="C151" s="12" t="s">
        <v>309</v>
      </c>
      <c r="D151" s="60"/>
      <c r="E151" s="39" t="str">
        <f>HYPERLINK("https://www.google.ru/search?q=1361586-001&amp;newwindow=1&amp;tbm=isch","Еще фото")</f>
        <v>Еще фото</v>
      </c>
      <c r="F151" s="13" t="s">
        <v>310</v>
      </c>
      <c r="G151" s="24" t="s">
        <v>63</v>
      </c>
      <c r="H151" s="24" t="s">
        <v>27</v>
      </c>
      <c r="I151" s="24" t="s">
        <v>28</v>
      </c>
      <c r="J151" s="14" t="s">
        <v>29</v>
      </c>
      <c r="K151" s="15" t="s">
        <v>30</v>
      </c>
      <c r="L151" s="58"/>
      <c r="M151" s="14" t="s">
        <v>66</v>
      </c>
      <c r="N151" s="14" t="s">
        <v>33</v>
      </c>
      <c r="O151" s="14"/>
      <c r="P151" s="15" t="s">
        <v>312</v>
      </c>
      <c r="Q151" s="16">
        <v>4799</v>
      </c>
      <c r="R151" s="17">
        <v>40</v>
      </c>
      <c r="S151" s="18">
        <v>3311.31</v>
      </c>
      <c r="T151" s="19" t="s">
        <v>36</v>
      </c>
      <c r="U151" s="20" t="s">
        <v>39</v>
      </c>
      <c r="V151" s="21" t="s">
        <v>40</v>
      </c>
      <c r="W151" s="22">
        <v>6</v>
      </c>
      <c r="X151" s="23"/>
    </row>
    <row r="152" spans="1:24" s="1" customFormat="1" ht="108" customHeight="1" x14ac:dyDescent="0.3">
      <c r="A152" s="11" t="s">
        <v>23</v>
      </c>
      <c r="B152" s="11" t="s">
        <v>308</v>
      </c>
      <c r="C152" s="12" t="s">
        <v>313</v>
      </c>
      <c r="D152" s="25"/>
      <c r="E152" s="39" t="str">
        <f>HYPERLINK("https://www.google.ru/search?q=1361586-090&amp;newwindow=1&amp;tbm=isch","Еще фото")</f>
        <v>Еще фото</v>
      </c>
      <c r="F152" s="13" t="s">
        <v>98</v>
      </c>
      <c r="G152" s="11" t="s">
        <v>63</v>
      </c>
      <c r="H152" s="11" t="s">
        <v>27</v>
      </c>
      <c r="I152" s="14" t="s">
        <v>28</v>
      </c>
      <c r="J152" s="14" t="s">
        <v>29</v>
      </c>
      <c r="K152" s="15" t="s">
        <v>30</v>
      </c>
      <c r="L152" s="14" t="s">
        <v>311</v>
      </c>
      <c r="M152" s="14" t="s">
        <v>66</v>
      </c>
      <c r="N152" s="14" t="s">
        <v>84</v>
      </c>
      <c r="O152" s="14" t="s">
        <v>34</v>
      </c>
      <c r="P152" s="15" t="s">
        <v>314</v>
      </c>
      <c r="Q152" s="16">
        <v>4899</v>
      </c>
      <c r="R152" s="17">
        <v>40</v>
      </c>
      <c r="S152" s="18">
        <v>3380.31</v>
      </c>
      <c r="T152" s="19" t="s">
        <v>36</v>
      </c>
      <c r="U152" s="20" t="s">
        <v>37</v>
      </c>
      <c r="V152" s="21" t="s">
        <v>38</v>
      </c>
      <c r="W152" s="22">
        <v>11</v>
      </c>
      <c r="X152" s="23"/>
    </row>
    <row r="153" spans="1:24" s="1" customFormat="1" ht="108" customHeight="1" x14ac:dyDescent="0.3">
      <c r="A153" s="11" t="s">
        <v>23</v>
      </c>
      <c r="B153" s="11" t="s">
        <v>308</v>
      </c>
      <c r="C153" s="12" t="s">
        <v>315</v>
      </c>
      <c r="D153" s="25"/>
      <c r="E153" s="39" t="str">
        <f>HYPERLINK("https://www.google.ru/search?q=1361586-100&amp;newwindow=1&amp;tbm=isch","Еще фото")</f>
        <v>Еще фото</v>
      </c>
      <c r="F153" s="13" t="s">
        <v>98</v>
      </c>
      <c r="G153" s="11" t="s">
        <v>63</v>
      </c>
      <c r="H153" s="11" t="s">
        <v>27</v>
      </c>
      <c r="I153" s="14" t="s">
        <v>28</v>
      </c>
      <c r="J153" s="14" t="s">
        <v>29</v>
      </c>
      <c r="K153" s="15" t="s">
        <v>30</v>
      </c>
      <c r="L153" s="14" t="s">
        <v>311</v>
      </c>
      <c r="M153" s="14" t="s">
        <v>66</v>
      </c>
      <c r="N153" s="14" t="s">
        <v>74</v>
      </c>
      <c r="O153" s="14" t="s">
        <v>34</v>
      </c>
      <c r="P153" s="15" t="s">
        <v>312</v>
      </c>
      <c r="Q153" s="16">
        <v>4799</v>
      </c>
      <c r="R153" s="17">
        <v>40</v>
      </c>
      <c r="S153" s="18">
        <v>3311.31</v>
      </c>
      <c r="T153" s="19" t="s">
        <v>36</v>
      </c>
      <c r="U153" s="20" t="s">
        <v>104</v>
      </c>
      <c r="V153" s="21" t="s">
        <v>105</v>
      </c>
      <c r="W153" s="22">
        <v>5</v>
      </c>
      <c r="X153" s="23"/>
    </row>
    <row r="154" spans="1:24" s="1" customFormat="1" ht="108" customHeight="1" x14ac:dyDescent="0.3">
      <c r="A154" s="11" t="s">
        <v>23</v>
      </c>
      <c r="B154" s="11" t="s">
        <v>308</v>
      </c>
      <c r="C154" s="12" t="s">
        <v>316</v>
      </c>
      <c r="D154" s="25"/>
      <c r="E154" s="39" t="str">
        <f>HYPERLINK("https://www.google.ru/search?q=1361586-390&amp;newwindow=1&amp;tbm=isch","Еще фото")</f>
        <v>Еще фото</v>
      </c>
      <c r="F154" s="13" t="s">
        <v>98</v>
      </c>
      <c r="G154" s="11" t="s">
        <v>63</v>
      </c>
      <c r="H154" s="11" t="s">
        <v>27</v>
      </c>
      <c r="I154" s="14" t="s">
        <v>28</v>
      </c>
      <c r="J154" s="14" t="s">
        <v>29</v>
      </c>
      <c r="K154" s="15" t="s">
        <v>30</v>
      </c>
      <c r="L154" s="14" t="s">
        <v>317</v>
      </c>
      <c r="M154" s="14" t="s">
        <v>66</v>
      </c>
      <c r="N154" s="14" t="s">
        <v>125</v>
      </c>
      <c r="O154" s="14"/>
      <c r="P154" s="15" t="s">
        <v>265</v>
      </c>
      <c r="Q154" s="16">
        <v>5299</v>
      </c>
      <c r="R154" s="17">
        <v>40</v>
      </c>
      <c r="S154" s="18">
        <v>3656.31</v>
      </c>
      <c r="T154" s="19" t="s">
        <v>36</v>
      </c>
      <c r="U154" s="20" t="s">
        <v>37</v>
      </c>
      <c r="V154" s="21" t="s">
        <v>38</v>
      </c>
      <c r="W154" s="22">
        <v>22</v>
      </c>
      <c r="X154" s="23"/>
    </row>
    <row r="155" spans="1:24" s="1" customFormat="1" ht="51.95" customHeight="1" x14ac:dyDescent="0.3">
      <c r="A155" s="11" t="s">
        <v>23</v>
      </c>
      <c r="B155" s="11" t="s">
        <v>308</v>
      </c>
      <c r="C155" s="12" t="s">
        <v>318</v>
      </c>
      <c r="D155" s="59"/>
      <c r="E155" s="39" t="str">
        <f>HYPERLINK("https://www.google.ru/search?q=1361586-690&amp;newwindow=1&amp;tbm=isch","Еще фото")</f>
        <v>Еще фото</v>
      </c>
      <c r="F155" s="13"/>
      <c r="G155" s="11" t="s">
        <v>63</v>
      </c>
      <c r="H155" s="11" t="s">
        <v>27</v>
      </c>
      <c r="I155" s="14" t="s">
        <v>28</v>
      </c>
      <c r="J155" s="14" t="s">
        <v>29</v>
      </c>
      <c r="K155" s="15" t="s">
        <v>30</v>
      </c>
      <c r="L155" s="56" t="s">
        <v>317</v>
      </c>
      <c r="M155" s="14"/>
      <c r="N155" s="14" t="s">
        <v>140</v>
      </c>
      <c r="O155" s="14"/>
      <c r="P155" s="15" t="s">
        <v>265</v>
      </c>
      <c r="Q155" s="16">
        <v>4799</v>
      </c>
      <c r="R155" s="17">
        <v>40</v>
      </c>
      <c r="S155" s="18">
        <v>3311.31</v>
      </c>
      <c r="T155" s="19" t="s">
        <v>36</v>
      </c>
      <c r="U155" s="20" t="s">
        <v>37</v>
      </c>
      <c r="V155" s="21" t="s">
        <v>38</v>
      </c>
      <c r="W155" s="22">
        <v>4</v>
      </c>
      <c r="X155" s="23"/>
    </row>
    <row r="156" spans="1:24" s="1" customFormat="1" ht="60.95" customHeight="1" x14ac:dyDescent="0.3">
      <c r="A156" s="24" t="s">
        <v>23</v>
      </c>
      <c r="B156" s="24" t="s">
        <v>308</v>
      </c>
      <c r="C156" s="12" t="s">
        <v>318</v>
      </c>
      <c r="D156" s="60"/>
      <c r="E156" s="39" t="str">
        <f>HYPERLINK("https://www.google.ru/search?q=1361586-690&amp;newwindow=1&amp;tbm=isch","Еще фото")</f>
        <v>Еще фото</v>
      </c>
      <c r="F156" s="13"/>
      <c r="G156" s="24" t="s">
        <v>63</v>
      </c>
      <c r="H156" s="24" t="s">
        <v>27</v>
      </c>
      <c r="I156" s="24" t="s">
        <v>28</v>
      </c>
      <c r="J156" s="14" t="s">
        <v>29</v>
      </c>
      <c r="K156" s="15" t="s">
        <v>30</v>
      </c>
      <c r="L156" s="58"/>
      <c r="M156" s="14"/>
      <c r="N156" s="14" t="s">
        <v>140</v>
      </c>
      <c r="O156" s="14"/>
      <c r="P156" s="15" t="s">
        <v>265</v>
      </c>
      <c r="Q156" s="16">
        <v>4799</v>
      </c>
      <c r="R156" s="17">
        <v>40</v>
      </c>
      <c r="S156" s="18">
        <v>3311.31</v>
      </c>
      <c r="T156" s="19" t="s">
        <v>36</v>
      </c>
      <c r="U156" s="20" t="s">
        <v>39</v>
      </c>
      <c r="V156" s="21" t="s">
        <v>40</v>
      </c>
      <c r="W156" s="22">
        <v>1</v>
      </c>
      <c r="X156" s="23"/>
    </row>
    <row r="157" spans="1:24" s="1" customFormat="1" ht="108" customHeight="1" x14ac:dyDescent="0.3">
      <c r="A157" s="11" t="s">
        <v>23</v>
      </c>
      <c r="B157" s="11" t="s">
        <v>319</v>
      </c>
      <c r="C157" s="12" t="s">
        <v>320</v>
      </c>
      <c r="D157" s="25"/>
      <c r="E157" s="39" t="str">
        <f>HYPERLINK("https://www.google.ru/search?q=1361588-001&amp;newwindow=1&amp;tbm=isch","Еще фото")</f>
        <v>Еще фото</v>
      </c>
      <c r="F157" s="13" t="s">
        <v>98</v>
      </c>
      <c r="G157" s="11" t="s">
        <v>63</v>
      </c>
      <c r="H157" s="11" t="s">
        <v>27</v>
      </c>
      <c r="I157" s="14" t="s">
        <v>28</v>
      </c>
      <c r="J157" s="14" t="s">
        <v>29</v>
      </c>
      <c r="K157" s="15" t="s">
        <v>30</v>
      </c>
      <c r="L157" s="14" t="s">
        <v>317</v>
      </c>
      <c r="M157" s="14" t="s">
        <v>66</v>
      </c>
      <c r="N157" s="14" t="s">
        <v>33</v>
      </c>
      <c r="O157" s="14" t="s">
        <v>34</v>
      </c>
      <c r="P157" s="15" t="s">
        <v>312</v>
      </c>
      <c r="Q157" s="16">
        <v>4499</v>
      </c>
      <c r="R157" s="17">
        <v>40</v>
      </c>
      <c r="S157" s="18">
        <v>3104.31</v>
      </c>
      <c r="T157" s="19" t="s">
        <v>36</v>
      </c>
      <c r="U157" s="20" t="s">
        <v>37</v>
      </c>
      <c r="V157" s="21" t="s">
        <v>38</v>
      </c>
      <c r="W157" s="22">
        <v>1</v>
      </c>
      <c r="X157" s="23"/>
    </row>
    <row r="158" spans="1:24" s="1" customFormat="1" ht="26.1" customHeight="1" x14ac:dyDescent="0.3">
      <c r="A158" s="11" t="s">
        <v>23</v>
      </c>
      <c r="B158" s="11" t="s">
        <v>220</v>
      </c>
      <c r="C158" s="12" t="s">
        <v>321</v>
      </c>
      <c r="D158" s="53"/>
      <c r="E158" s="39" t="str">
        <f>HYPERLINK("https://www.google.ru/search?q=1361642-112&amp;newwindow=1&amp;tbm=isch","Еще фото")</f>
        <v>Еще фото</v>
      </c>
      <c r="F158" s="13"/>
      <c r="G158" s="11" t="s">
        <v>28</v>
      </c>
      <c r="H158" s="11" t="s">
        <v>27</v>
      </c>
      <c r="I158" s="14" t="s">
        <v>28</v>
      </c>
      <c r="J158" s="14" t="s">
        <v>29</v>
      </c>
      <c r="K158" s="15" t="s">
        <v>30</v>
      </c>
      <c r="L158" s="56" t="s">
        <v>222</v>
      </c>
      <c r="M158" s="14" t="s">
        <v>223</v>
      </c>
      <c r="N158" s="14" t="s">
        <v>84</v>
      </c>
      <c r="O158" s="14"/>
      <c r="P158" s="15" t="s">
        <v>113</v>
      </c>
      <c r="Q158" s="16">
        <v>6799</v>
      </c>
      <c r="R158" s="17">
        <v>40</v>
      </c>
      <c r="S158" s="18">
        <v>4691.3099999999995</v>
      </c>
      <c r="T158" s="19" t="s">
        <v>36</v>
      </c>
      <c r="U158" s="20" t="s">
        <v>37</v>
      </c>
      <c r="V158" s="21" t="s">
        <v>38</v>
      </c>
      <c r="W158" s="22">
        <v>15</v>
      </c>
      <c r="X158" s="23"/>
    </row>
    <row r="159" spans="1:24" s="1" customFormat="1" ht="26.1" customHeight="1" x14ac:dyDescent="0.3">
      <c r="A159" s="24" t="s">
        <v>23</v>
      </c>
      <c r="B159" s="24" t="s">
        <v>220</v>
      </c>
      <c r="C159" s="12" t="s">
        <v>321</v>
      </c>
      <c r="D159" s="54"/>
      <c r="E159" s="39" t="str">
        <f>HYPERLINK("https://www.google.ru/search?q=1361642-112&amp;newwindow=1&amp;tbm=isch","Еще фото")</f>
        <v>Еще фото</v>
      </c>
      <c r="F159" s="13"/>
      <c r="G159" s="24" t="s">
        <v>28</v>
      </c>
      <c r="H159" s="24" t="s">
        <v>27</v>
      </c>
      <c r="I159" s="24" t="s">
        <v>28</v>
      </c>
      <c r="J159" s="14" t="s">
        <v>29</v>
      </c>
      <c r="K159" s="15" t="s">
        <v>30</v>
      </c>
      <c r="L159" s="57"/>
      <c r="M159" s="14" t="s">
        <v>223</v>
      </c>
      <c r="N159" s="14" t="s">
        <v>84</v>
      </c>
      <c r="O159" s="14"/>
      <c r="P159" s="15" t="s">
        <v>113</v>
      </c>
      <c r="Q159" s="16">
        <v>6799</v>
      </c>
      <c r="R159" s="17">
        <v>40</v>
      </c>
      <c r="S159" s="18">
        <v>4691.3099999999995</v>
      </c>
      <c r="T159" s="19" t="s">
        <v>36</v>
      </c>
      <c r="U159" s="20" t="s">
        <v>39</v>
      </c>
      <c r="V159" s="21" t="s">
        <v>40</v>
      </c>
      <c r="W159" s="22">
        <v>2</v>
      </c>
      <c r="X159" s="23"/>
    </row>
    <row r="160" spans="1:24" s="1" customFormat="1" ht="26.1" customHeight="1" x14ac:dyDescent="0.3">
      <c r="A160" s="24" t="s">
        <v>23</v>
      </c>
      <c r="B160" s="24" t="s">
        <v>220</v>
      </c>
      <c r="C160" s="12" t="s">
        <v>321</v>
      </c>
      <c r="D160" s="54"/>
      <c r="E160" s="39" t="str">
        <f>HYPERLINK("https://www.google.ru/search?q=1361642-112&amp;newwindow=1&amp;tbm=isch","Еще фото")</f>
        <v>Еще фото</v>
      </c>
      <c r="F160" s="13"/>
      <c r="G160" s="24" t="s">
        <v>28</v>
      </c>
      <c r="H160" s="24" t="s">
        <v>27</v>
      </c>
      <c r="I160" s="24" t="s">
        <v>28</v>
      </c>
      <c r="J160" s="14" t="s">
        <v>29</v>
      </c>
      <c r="K160" s="15" t="s">
        <v>30</v>
      </c>
      <c r="L160" s="57"/>
      <c r="M160" s="14" t="s">
        <v>223</v>
      </c>
      <c r="N160" s="14" t="s">
        <v>84</v>
      </c>
      <c r="O160" s="14"/>
      <c r="P160" s="15" t="s">
        <v>113</v>
      </c>
      <c r="Q160" s="16">
        <v>6799</v>
      </c>
      <c r="R160" s="17">
        <v>40</v>
      </c>
      <c r="S160" s="18">
        <v>4691.3099999999995</v>
      </c>
      <c r="T160" s="19" t="s">
        <v>36</v>
      </c>
      <c r="U160" s="20" t="s">
        <v>41</v>
      </c>
      <c r="V160" s="21" t="s">
        <v>42</v>
      </c>
      <c r="W160" s="22">
        <v>7</v>
      </c>
      <c r="X160" s="23"/>
    </row>
    <row r="161" spans="1:24" s="1" customFormat="1" ht="26.1" customHeight="1" x14ac:dyDescent="0.3">
      <c r="A161" s="24" t="s">
        <v>23</v>
      </c>
      <c r="B161" s="24" t="s">
        <v>220</v>
      </c>
      <c r="C161" s="12" t="s">
        <v>321</v>
      </c>
      <c r="D161" s="55"/>
      <c r="E161" s="39" t="str">
        <f>HYPERLINK("https://www.google.ru/search?q=1361642-112&amp;newwindow=1&amp;tbm=isch","Еще фото")</f>
        <v>Еще фото</v>
      </c>
      <c r="F161" s="13"/>
      <c r="G161" s="24" t="s">
        <v>28</v>
      </c>
      <c r="H161" s="24" t="s">
        <v>27</v>
      </c>
      <c r="I161" s="24" t="s">
        <v>28</v>
      </c>
      <c r="J161" s="14" t="s">
        <v>29</v>
      </c>
      <c r="K161" s="15" t="s">
        <v>30</v>
      </c>
      <c r="L161" s="58"/>
      <c r="M161" s="14" t="s">
        <v>223</v>
      </c>
      <c r="N161" s="14" t="s">
        <v>84</v>
      </c>
      <c r="O161" s="14"/>
      <c r="P161" s="15" t="s">
        <v>113</v>
      </c>
      <c r="Q161" s="16">
        <v>6799</v>
      </c>
      <c r="R161" s="17">
        <v>40</v>
      </c>
      <c r="S161" s="18">
        <v>4691.3099999999995</v>
      </c>
      <c r="T161" s="19" t="s">
        <v>36</v>
      </c>
      <c r="U161" s="20" t="s">
        <v>43</v>
      </c>
      <c r="V161" s="21" t="s">
        <v>44</v>
      </c>
      <c r="W161" s="22">
        <v>3</v>
      </c>
      <c r="X161" s="23"/>
    </row>
    <row r="162" spans="1:24" s="1" customFormat="1" ht="108" customHeight="1" x14ac:dyDescent="0.3">
      <c r="A162" s="11" t="s">
        <v>23</v>
      </c>
      <c r="B162" s="11" t="s">
        <v>322</v>
      </c>
      <c r="C162" s="12" t="s">
        <v>323</v>
      </c>
      <c r="D162" s="25"/>
      <c r="E162" s="39" t="str">
        <f>HYPERLINK("https://www.google.ru/search?q=1361642-176&amp;newwindow=1&amp;tbm=isch","Еще фото")</f>
        <v>Еще фото</v>
      </c>
      <c r="F162" s="13"/>
      <c r="G162" s="11" t="s">
        <v>28</v>
      </c>
      <c r="H162" s="11" t="s">
        <v>27</v>
      </c>
      <c r="I162" s="14" t="s">
        <v>28</v>
      </c>
      <c r="J162" s="14" t="s">
        <v>29</v>
      </c>
      <c r="K162" s="15" t="s">
        <v>30</v>
      </c>
      <c r="L162" s="14" t="s">
        <v>222</v>
      </c>
      <c r="M162" s="14" t="s">
        <v>49</v>
      </c>
      <c r="N162" s="14" t="s">
        <v>84</v>
      </c>
      <c r="O162" s="14"/>
      <c r="P162" s="15" t="s">
        <v>324</v>
      </c>
      <c r="Q162" s="16">
        <v>6799</v>
      </c>
      <c r="R162" s="17">
        <v>40</v>
      </c>
      <c r="S162" s="18">
        <v>4691.3099999999995</v>
      </c>
      <c r="T162" s="19" t="s">
        <v>36</v>
      </c>
      <c r="U162" s="20" t="s">
        <v>41</v>
      </c>
      <c r="V162" s="21" t="s">
        <v>42</v>
      </c>
      <c r="W162" s="22">
        <v>1</v>
      </c>
      <c r="X162" s="23"/>
    </row>
    <row r="163" spans="1:24" s="1" customFormat="1" ht="108" customHeight="1" x14ac:dyDescent="0.3">
      <c r="A163" s="11" t="s">
        <v>23</v>
      </c>
      <c r="B163" s="11" t="s">
        <v>325</v>
      </c>
      <c r="C163" s="12" t="s">
        <v>326</v>
      </c>
      <c r="D163" s="25"/>
      <c r="E163" s="39" t="str">
        <f>HYPERLINK("https://www.google.ru/search?q=1361959-310&amp;newwindow=1&amp;tbm=isch","Еще фото")</f>
        <v>Еще фото</v>
      </c>
      <c r="F163" s="13" t="s">
        <v>98</v>
      </c>
      <c r="G163" s="11" t="s">
        <v>28</v>
      </c>
      <c r="H163" s="11" t="s">
        <v>27</v>
      </c>
      <c r="I163" s="14" t="s">
        <v>28</v>
      </c>
      <c r="J163" s="14" t="s">
        <v>47</v>
      </c>
      <c r="K163" s="15" t="s">
        <v>54</v>
      </c>
      <c r="L163" s="14" t="s">
        <v>327</v>
      </c>
      <c r="M163" s="14" t="s">
        <v>49</v>
      </c>
      <c r="N163" s="14" t="s">
        <v>125</v>
      </c>
      <c r="O163" s="14" t="s">
        <v>34</v>
      </c>
      <c r="P163" s="15" t="s">
        <v>324</v>
      </c>
      <c r="Q163" s="16">
        <v>7499</v>
      </c>
      <c r="R163" s="17">
        <v>40</v>
      </c>
      <c r="S163" s="18">
        <v>5174.3099999999995</v>
      </c>
      <c r="T163" s="19" t="s">
        <v>36</v>
      </c>
      <c r="U163" s="20" t="s">
        <v>59</v>
      </c>
      <c r="V163" s="21" t="s">
        <v>60</v>
      </c>
      <c r="W163" s="22">
        <v>4</v>
      </c>
      <c r="X163" s="23"/>
    </row>
    <row r="164" spans="1:24" s="1" customFormat="1" ht="108" customHeight="1" x14ac:dyDescent="0.3">
      <c r="A164" s="11" t="s">
        <v>23</v>
      </c>
      <c r="B164" s="11" t="s">
        <v>328</v>
      </c>
      <c r="C164" s="12" t="s">
        <v>329</v>
      </c>
      <c r="D164" s="25"/>
      <c r="E164" s="39" t="str">
        <f>HYPERLINK("https://www.google.ru/search?q=1365335-001&amp;newwindow=1&amp;tbm=isch","Еще фото")</f>
        <v>Еще фото</v>
      </c>
      <c r="F164" s="13" t="s">
        <v>98</v>
      </c>
      <c r="G164" s="11" t="s">
        <v>63</v>
      </c>
      <c r="H164" s="11" t="s">
        <v>27</v>
      </c>
      <c r="I164" s="14" t="s">
        <v>28</v>
      </c>
      <c r="J164" s="14" t="s">
        <v>29</v>
      </c>
      <c r="K164" s="15" t="s">
        <v>64</v>
      </c>
      <c r="L164" s="14" t="s">
        <v>99</v>
      </c>
      <c r="M164" s="14" t="s">
        <v>66</v>
      </c>
      <c r="N164" s="14" t="s">
        <v>33</v>
      </c>
      <c r="O164" s="14"/>
      <c r="P164" s="15" t="s">
        <v>279</v>
      </c>
      <c r="Q164" s="16">
        <v>4799</v>
      </c>
      <c r="R164" s="17">
        <v>40</v>
      </c>
      <c r="S164" s="18">
        <v>3311.31</v>
      </c>
      <c r="T164" s="19" t="s">
        <v>36</v>
      </c>
      <c r="U164" s="20" t="s">
        <v>69</v>
      </c>
      <c r="V164" s="21" t="s">
        <v>70</v>
      </c>
      <c r="W164" s="22">
        <v>3</v>
      </c>
      <c r="X164" s="23"/>
    </row>
    <row r="165" spans="1:24" s="1" customFormat="1" ht="108" customHeight="1" x14ac:dyDescent="0.3">
      <c r="A165" s="11" t="s">
        <v>23</v>
      </c>
      <c r="B165" s="11" t="s">
        <v>330</v>
      </c>
      <c r="C165" s="12" t="s">
        <v>331</v>
      </c>
      <c r="D165" s="25"/>
      <c r="E165" s="39" t="str">
        <f>HYPERLINK("https://www.google.ru/search?q=1365336-001&amp;newwindow=1&amp;tbm=isch","Еще фото")</f>
        <v>Еще фото</v>
      </c>
      <c r="F165" s="13" t="s">
        <v>98</v>
      </c>
      <c r="G165" s="11" t="s">
        <v>63</v>
      </c>
      <c r="H165" s="11" t="s">
        <v>27</v>
      </c>
      <c r="I165" s="14" t="s">
        <v>28</v>
      </c>
      <c r="J165" s="14" t="s">
        <v>29</v>
      </c>
      <c r="K165" s="15" t="s">
        <v>64</v>
      </c>
      <c r="L165" s="14" t="s">
        <v>99</v>
      </c>
      <c r="M165" s="14" t="s">
        <v>66</v>
      </c>
      <c r="N165" s="14" t="s">
        <v>33</v>
      </c>
      <c r="O165" s="14"/>
      <c r="P165" s="15" t="s">
        <v>279</v>
      </c>
      <c r="Q165" s="16">
        <v>4799</v>
      </c>
      <c r="R165" s="17">
        <v>40</v>
      </c>
      <c r="S165" s="18">
        <v>3311.31</v>
      </c>
      <c r="T165" s="19" t="s">
        <v>36</v>
      </c>
      <c r="U165" s="20" t="s">
        <v>69</v>
      </c>
      <c r="V165" s="21" t="s">
        <v>70</v>
      </c>
      <c r="W165" s="22">
        <v>1</v>
      </c>
      <c r="X165" s="23"/>
    </row>
    <row r="166" spans="1:24" s="1" customFormat="1" ht="108" customHeight="1" x14ac:dyDescent="0.3">
      <c r="A166" s="11" t="s">
        <v>23</v>
      </c>
      <c r="B166" s="11" t="s">
        <v>332</v>
      </c>
      <c r="C166" s="12" t="s">
        <v>333</v>
      </c>
      <c r="D166" s="25"/>
      <c r="E166" s="39" t="str">
        <f>HYPERLINK("https://www.google.ru/search?q=1365336-025&amp;newwindow=1&amp;tbm=isch","Еще фото")</f>
        <v>Еще фото</v>
      </c>
      <c r="F166" s="13"/>
      <c r="G166" s="11" t="s">
        <v>63</v>
      </c>
      <c r="H166" s="11" t="s">
        <v>27</v>
      </c>
      <c r="I166" s="14" t="s">
        <v>28</v>
      </c>
      <c r="J166" s="14" t="s">
        <v>29</v>
      </c>
      <c r="K166" s="15" t="s">
        <v>64</v>
      </c>
      <c r="L166" s="14" t="s">
        <v>334</v>
      </c>
      <c r="M166" s="14"/>
      <c r="N166" s="14" t="s">
        <v>84</v>
      </c>
      <c r="O166" s="14"/>
      <c r="P166" s="15" t="s">
        <v>279</v>
      </c>
      <c r="Q166" s="16">
        <v>4799</v>
      </c>
      <c r="R166" s="17">
        <v>40</v>
      </c>
      <c r="S166" s="18">
        <v>3311.31</v>
      </c>
      <c r="T166" s="19" t="s">
        <v>36</v>
      </c>
      <c r="U166" s="20" t="s">
        <v>69</v>
      </c>
      <c r="V166" s="21" t="s">
        <v>70</v>
      </c>
      <c r="W166" s="22">
        <v>3</v>
      </c>
      <c r="X166" s="23"/>
    </row>
    <row r="167" spans="1:24" s="1" customFormat="1" ht="35.1" customHeight="1" x14ac:dyDescent="0.3">
      <c r="A167" s="11" t="s">
        <v>23</v>
      </c>
      <c r="B167" s="11" t="s">
        <v>332</v>
      </c>
      <c r="C167" s="12" t="s">
        <v>335</v>
      </c>
      <c r="D167" s="53"/>
      <c r="E167" s="39" t="str">
        <f>HYPERLINK("https://www.google.ru/search?q=1365336-348&amp;newwindow=1&amp;tbm=isch","Еще фото")</f>
        <v>Еще фото</v>
      </c>
      <c r="F167" s="13"/>
      <c r="G167" s="11" t="s">
        <v>63</v>
      </c>
      <c r="H167" s="11" t="s">
        <v>27</v>
      </c>
      <c r="I167" s="14" t="s">
        <v>28</v>
      </c>
      <c r="J167" s="14" t="s">
        <v>29</v>
      </c>
      <c r="K167" s="15" t="s">
        <v>64</v>
      </c>
      <c r="L167" s="56" t="s">
        <v>336</v>
      </c>
      <c r="M167" s="14"/>
      <c r="N167" s="14" t="s">
        <v>125</v>
      </c>
      <c r="O167" s="14"/>
      <c r="P167" s="15" t="s">
        <v>100</v>
      </c>
      <c r="Q167" s="16">
        <v>5299</v>
      </c>
      <c r="R167" s="17">
        <v>40</v>
      </c>
      <c r="S167" s="18">
        <v>3656.31</v>
      </c>
      <c r="T167" s="19" t="s">
        <v>36</v>
      </c>
      <c r="U167" s="20" t="s">
        <v>69</v>
      </c>
      <c r="V167" s="21" t="s">
        <v>70</v>
      </c>
      <c r="W167" s="22">
        <v>8</v>
      </c>
      <c r="X167" s="23"/>
    </row>
    <row r="168" spans="1:24" s="1" customFormat="1" ht="35.1" customHeight="1" x14ac:dyDescent="0.3">
      <c r="A168" s="24" t="s">
        <v>23</v>
      </c>
      <c r="B168" s="24" t="s">
        <v>332</v>
      </c>
      <c r="C168" s="12" t="s">
        <v>335</v>
      </c>
      <c r="D168" s="54"/>
      <c r="E168" s="39" t="str">
        <f>HYPERLINK("https://www.google.ru/search?q=1365336-348&amp;newwindow=1&amp;tbm=isch","Еще фото")</f>
        <v>Еще фото</v>
      </c>
      <c r="F168" s="13"/>
      <c r="G168" s="24" t="s">
        <v>63</v>
      </c>
      <c r="H168" s="24" t="s">
        <v>27</v>
      </c>
      <c r="I168" s="24" t="s">
        <v>28</v>
      </c>
      <c r="J168" s="14" t="s">
        <v>29</v>
      </c>
      <c r="K168" s="15" t="s">
        <v>64</v>
      </c>
      <c r="L168" s="57"/>
      <c r="M168" s="14"/>
      <c r="N168" s="14" t="s">
        <v>125</v>
      </c>
      <c r="O168" s="14"/>
      <c r="P168" s="15" t="s">
        <v>100</v>
      </c>
      <c r="Q168" s="16">
        <v>5299</v>
      </c>
      <c r="R168" s="17">
        <v>40</v>
      </c>
      <c r="S168" s="18">
        <v>3656.31</v>
      </c>
      <c r="T168" s="19" t="s">
        <v>36</v>
      </c>
      <c r="U168" s="20" t="s">
        <v>41</v>
      </c>
      <c r="V168" s="21" t="s">
        <v>40</v>
      </c>
      <c r="W168" s="22">
        <v>1</v>
      </c>
      <c r="X168" s="23"/>
    </row>
    <row r="169" spans="1:24" s="1" customFormat="1" ht="36.950000000000003" customHeight="1" x14ac:dyDescent="0.3">
      <c r="A169" s="24" t="s">
        <v>23</v>
      </c>
      <c r="B169" s="24" t="s">
        <v>332</v>
      </c>
      <c r="C169" s="12" t="s">
        <v>335</v>
      </c>
      <c r="D169" s="55"/>
      <c r="E169" s="39" t="str">
        <f>HYPERLINK("https://www.google.ru/search?q=1365336-348&amp;newwindow=1&amp;tbm=isch","Еще фото")</f>
        <v>Еще фото</v>
      </c>
      <c r="F169" s="13"/>
      <c r="G169" s="24" t="s">
        <v>63</v>
      </c>
      <c r="H169" s="24" t="s">
        <v>27</v>
      </c>
      <c r="I169" s="24" t="s">
        <v>28</v>
      </c>
      <c r="J169" s="14" t="s">
        <v>29</v>
      </c>
      <c r="K169" s="15" t="s">
        <v>64</v>
      </c>
      <c r="L169" s="58"/>
      <c r="M169" s="14"/>
      <c r="N169" s="14" t="s">
        <v>125</v>
      </c>
      <c r="O169" s="14"/>
      <c r="P169" s="15" t="s">
        <v>100</v>
      </c>
      <c r="Q169" s="16">
        <v>5299</v>
      </c>
      <c r="R169" s="17">
        <v>40</v>
      </c>
      <c r="S169" s="18">
        <v>3656.31</v>
      </c>
      <c r="T169" s="19" t="s">
        <v>36</v>
      </c>
      <c r="U169" s="20" t="s">
        <v>43</v>
      </c>
      <c r="V169" s="21" t="s">
        <v>42</v>
      </c>
      <c r="W169" s="22">
        <v>1</v>
      </c>
      <c r="X169" s="23"/>
    </row>
    <row r="170" spans="1:24" s="1" customFormat="1" ht="108" customHeight="1" x14ac:dyDescent="0.3">
      <c r="A170" s="11" t="s">
        <v>23</v>
      </c>
      <c r="B170" s="11" t="s">
        <v>96</v>
      </c>
      <c r="C170" s="12" t="s">
        <v>337</v>
      </c>
      <c r="D170" s="25"/>
      <c r="E170" s="39" t="str">
        <f>HYPERLINK("https://www.google.ru/search?q=1365336-432&amp;newwindow=1&amp;tbm=isch","Еще фото")</f>
        <v>Еще фото</v>
      </c>
      <c r="F170" s="13"/>
      <c r="G170" s="11" t="s">
        <v>63</v>
      </c>
      <c r="H170" s="11" t="s">
        <v>27</v>
      </c>
      <c r="I170" s="14" t="s">
        <v>28</v>
      </c>
      <c r="J170" s="14" t="s">
        <v>29</v>
      </c>
      <c r="K170" s="15" t="s">
        <v>64</v>
      </c>
      <c r="L170" s="14" t="s">
        <v>99</v>
      </c>
      <c r="M170" s="14" t="s">
        <v>66</v>
      </c>
      <c r="N170" s="14" t="s">
        <v>91</v>
      </c>
      <c r="O170" s="14"/>
      <c r="P170" s="15" t="s">
        <v>100</v>
      </c>
      <c r="Q170" s="16">
        <v>6699</v>
      </c>
      <c r="R170" s="17">
        <v>40</v>
      </c>
      <c r="S170" s="18">
        <v>4622.3099999999995</v>
      </c>
      <c r="T170" s="19" t="s">
        <v>36</v>
      </c>
      <c r="U170" s="20" t="s">
        <v>69</v>
      </c>
      <c r="V170" s="21" t="s">
        <v>70</v>
      </c>
      <c r="W170" s="22">
        <v>1</v>
      </c>
      <c r="X170" s="23"/>
    </row>
    <row r="171" spans="1:24" s="1" customFormat="1" ht="35.1" customHeight="1" x14ac:dyDescent="0.3">
      <c r="A171" s="11" t="s">
        <v>23</v>
      </c>
      <c r="B171" s="11" t="s">
        <v>172</v>
      </c>
      <c r="C171" s="12" t="s">
        <v>338</v>
      </c>
      <c r="D171" s="53"/>
      <c r="E171" s="39" t="str">
        <f>HYPERLINK("https://www.google.ru/search?q=1365336-560&amp;newwindow=1&amp;tbm=isch","Еще фото")</f>
        <v>Еще фото</v>
      </c>
      <c r="F171" s="13"/>
      <c r="G171" s="11" t="s">
        <v>63</v>
      </c>
      <c r="H171" s="11" t="s">
        <v>27</v>
      </c>
      <c r="I171" s="14" t="s">
        <v>28</v>
      </c>
      <c r="J171" s="14" t="s">
        <v>29</v>
      </c>
      <c r="K171" s="15" t="s">
        <v>64</v>
      </c>
      <c r="L171" s="56" t="s">
        <v>99</v>
      </c>
      <c r="M171" s="14" t="s">
        <v>66</v>
      </c>
      <c r="N171" s="14" t="s">
        <v>339</v>
      </c>
      <c r="O171" s="14"/>
      <c r="P171" s="15" t="s">
        <v>100</v>
      </c>
      <c r="Q171" s="16">
        <v>7599</v>
      </c>
      <c r="R171" s="17">
        <v>40</v>
      </c>
      <c r="S171" s="18">
        <v>5243.3099999999995</v>
      </c>
      <c r="T171" s="19" t="s">
        <v>36</v>
      </c>
      <c r="U171" s="20" t="s">
        <v>69</v>
      </c>
      <c r="V171" s="21" t="s">
        <v>70</v>
      </c>
      <c r="W171" s="22">
        <v>1</v>
      </c>
      <c r="X171" s="23"/>
    </row>
    <row r="172" spans="1:24" s="1" customFormat="1" ht="35.1" customHeight="1" x14ac:dyDescent="0.3">
      <c r="A172" s="24" t="s">
        <v>23</v>
      </c>
      <c r="B172" s="24" t="s">
        <v>172</v>
      </c>
      <c r="C172" s="12" t="s">
        <v>338</v>
      </c>
      <c r="D172" s="54"/>
      <c r="E172" s="39" t="str">
        <f>HYPERLINK("https://www.google.ru/search?q=1365336-560&amp;newwindow=1&amp;tbm=isch","Еще фото")</f>
        <v>Еще фото</v>
      </c>
      <c r="F172" s="13"/>
      <c r="G172" s="24" t="s">
        <v>63</v>
      </c>
      <c r="H172" s="24" t="s">
        <v>27</v>
      </c>
      <c r="I172" s="24" t="s">
        <v>28</v>
      </c>
      <c r="J172" s="14" t="s">
        <v>29</v>
      </c>
      <c r="K172" s="15" t="s">
        <v>64</v>
      </c>
      <c r="L172" s="57"/>
      <c r="M172" s="14" t="s">
        <v>66</v>
      </c>
      <c r="N172" s="14" t="s">
        <v>339</v>
      </c>
      <c r="O172" s="14"/>
      <c r="P172" s="15" t="s">
        <v>100</v>
      </c>
      <c r="Q172" s="16">
        <v>7599</v>
      </c>
      <c r="R172" s="17">
        <v>40</v>
      </c>
      <c r="S172" s="18">
        <v>5243.3099999999995</v>
      </c>
      <c r="T172" s="19" t="s">
        <v>36</v>
      </c>
      <c r="U172" s="20" t="s">
        <v>37</v>
      </c>
      <c r="V172" s="21" t="s">
        <v>86</v>
      </c>
      <c r="W172" s="22">
        <v>1</v>
      </c>
      <c r="X172" s="23"/>
    </row>
    <row r="173" spans="1:24" s="1" customFormat="1" ht="36.950000000000003" customHeight="1" x14ac:dyDescent="0.3">
      <c r="A173" s="24" t="s">
        <v>23</v>
      </c>
      <c r="B173" s="24" t="s">
        <v>172</v>
      </c>
      <c r="C173" s="12" t="s">
        <v>338</v>
      </c>
      <c r="D173" s="55"/>
      <c r="E173" s="39" t="str">
        <f>HYPERLINK("https://www.google.ru/search?q=1365336-560&amp;newwindow=1&amp;tbm=isch","Еще фото")</f>
        <v>Еще фото</v>
      </c>
      <c r="F173" s="13"/>
      <c r="G173" s="24" t="s">
        <v>63</v>
      </c>
      <c r="H173" s="24" t="s">
        <v>27</v>
      </c>
      <c r="I173" s="24" t="s">
        <v>28</v>
      </c>
      <c r="J173" s="14" t="s">
        <v>29</v>
      </c>
      <c r="K173" s="15" t="s">
        <v>64</v>
      </c>
      <c r="L173" s="58"/>
      <c r="M173" s="14" t="s">
        <v>66</v>
      </c>
      <c r="N173" s="14" t="s">
        <v>339</v>
      </c>
      <c r="O173" s="14"/>
      <c r="P173" s="15" t="s">
        <v>100</v>
      </c>
      <c r="Q173" s="16">
        <v>7599</v>
      </c>
      <c r="R173" s="17">
        <v>40</v>
      </c>
      <c r="S173" s="18">
        <v>5243.3099999999995</v>
      </c>
      <c r="T173" s="19" t="s">
        <v>36</v>
      </c>
      <c r="U173" s="20" t="s">
        <v>39</v>
      </c>
      <c r="V173" s="21" t="s">
        <v>38</v>
      </c>
      <c r="W173" s="22">
        <v>2</v>
      </c>
      <c r="X173" s="23"/>
    </row>
    <row r="174" spans="1:24" s="1" customFormat="1" ht="35.1" customHeight="1" x14ac:dyDescent="0.3">
      <c r="A174" s="11" t="s">
        <v>23</v>
      </c>
      <c r="B174" s="11" t="s">
        <v>340</v>
      </c>
      <c r="C174" s="12" t="s">
        <v>341</v>
      </c>
      <c r="D174" s="53"/>
      <c r="E174" s="39" t="str">
        <f>HYPERLINK("https://www.google.ru/search?q=1365338-963&amp;newwindow=1&amp;tbm=isch","Еще фото")</f>
        <v>Еще фото</v>
      </c>
      <c r="F174" s="13"/>
      <c r="G174" s="11" t="s">
        <v>82</v>
      </c>
      <c r="H174" s="11" t="s">
        <v>27</v>
      </c>
      <c r="I174" s="14" t="s">
        <v>28</v>
      </c>
      <c r="J174" s="14" t="s">
        <v>29</v>
      </c>
      <c r="K174" s="15" t="s">
        <v>64</v>
      </c>
      <c r="L174" s="56" t="s">
        <v>342</v>
      </c>
      <c r="M174" s="14" t="s">
        <v>66</v>
      </c>
      <c r="N174" s="14" t="s">
        <v>343</v>
      </c>
      <c r="O174" s="14"/>
      <c r="P174" s="15" t="s">
        <v>100</v>
      </c>
      <c r="Q174" s="16">
        <v>7599</v>
      </c>
      <c r="R174" s="17">
        <v>40</v>
      </c>
      <c r="S174" s="18">
        <v>5243.3099999999995</v>
      </c>
      <c r="T174" s="19" t="s">
        <v>36</v>
      </c>
      <c r="U174" s="20" t="s">
        <v>69</v>
      </c>
      <c r="V174" s="21" t="s">
        <v>70</v>
      </c>
      <c r="W174" s="22">
        <v>4</v>
      </c>
      <c r="X174" s="23"/>
    </row>
    <row r="175" spans="1:24" s="1" customFormat="1" ht="35.1" customHeight="1" x14ac:dyDescent="0.3">
      <c r="A175" s="24" t="s">
        <v>23</v>
      </c>
      <c r="B175" s="24" t="s">
        <v>340</v>
      </c>
      <c r="C175" s="12" t="s">
        <v>341</v>
      </c>
      <c r="D175" s="54"/>
      <c r="E175" s="39" t="str">
        <f>HYPERLINK("https://www.google.ru/search?q=1365338-963&amp;newwindow=1&amp;tbm=isch","Еще фото")</f>
        <v>Еще фото</v>
      </c>
      <c r="F175" s="13"/>
      <c r="G175" s="24" t="s">
        <v>82</v>
      </c>
      <c r="H175" s="24" t="s">
        <v>27</v>
      </c>
      <c r="I175" s="24" t="s">
        <v>28</v>
      </c>
      <c r="J175" s="14" t="s">
        <v>29</v>
      </c>
      <c r="K175" s="15" t="s">
        <v>64</v>
      </c>
      <c r="L175" s="57"/>
      <c r="M175" s="14" t="s">
        <v>66</v>
      </c>
      <c r="N175" s="14" t="s">
        <v>343</v>
      </c>
      <c r="O175" s="14"/>
      <c r="P175" s="15" t="s">
        <v>100</v>
      </c>
      <c r="Q175" s="16">
        <v>7599</v>
      </c>
      <c r="R175" s="17">
        <v>40</v>
      </c>
      <c r="S175" s="18">
        <v>5243.3099999999995</v>
      </c>
      <c r="T175" s="19" t="s">
        <v>36</v>
      </c>
      <c r="U175" s="20" t="s">
        <v>37</v>
      </c>
      <c r="V175" s="21" t="s">
        <v>86</v>
      </c>
      <c r="W175" s="22">
        <v>3</v>
      </c>
      <c r="X175" s="23"/>
    </row>
    <row r="176" spans="1:24" s="1" customFormat="1" ht="36.950000000000003" customHeight="1" x14ac:dyDescent="0.3">
      <c r="A176" s="24" t="s">
        <v>23</v>
      </c>
      <c r="B176" s="24" t="s">
        <v>340</v>
      </c>
      <c r="C176" s="12" t="s">
        <v>341</v>
      </c>
      <c r="D176" s="55"/>
      <c r="E176" s="39" t="str">
        <f>HYPERLINK("https://www.google.ru/search?q=1365338-963&amp;newwindow=1&amp;tbm=isch","Еще фото")</f>
        <v>Еще фото</v>
      </c>
      <c r="F176" s="13"/>
      <c r="G176" s="24" t="s">
        <v>82</v>
      </c>
      <c r="H176" s="24" t="s">
        <v>27</v>
      </c>
      <c r="I176" s="24" t="s">
        <v>28</v>
      </c>
      <c r="J176" s="14" t="s">
        <v>29</v>
      </c>
      <c r="K176" s="15" t="s">
        <v>64</v>
      </c>
      <c r="L176" s="58"/>
      <c r="M176" s="14" t="s">
        <v>66</v>
      </c>
      <c r="N176" s="14" t="s">
        <v>343</v>
      </c>
      <c r="O176" s="14"/>
      <c r="P176" s="15" t="s">
        <v>100</v>
      </c>
      <c r="Q176" s="16">
        <v>7599</v>
      </c>
      <c r="R176" s="17">
        <v>40</v>
      </c>
      <c r="S176" s="18">
        <v>5243.3099999999995</v>
      </c>
      <c r="T176" s="19" t="s">
        <v>36</v>
      </c>
      <c r="U176" s="20" t="s">
        <v>41</v>
      </c>
      <c r="V176" s="21" t="s">
        <v>40</v>
      </c>
      <c r="W176" s="22">
        <v>1</v>
      </c>
      <c r="X176" s="23"/>
    </row>
    <row r="177" spans="1:24" s="1" customFormat="1" ht="51.95" customHeight="1" x14ac:dyDescent="0.3">
      <c r="A177" s="11" t="s">
        <v>23</v>
      </c>
      <c r="B177" s="11" t="s">
        <v>344</v>
      </c>
      <c r="C177" s="12" t="s">
        <v>345</v>
      </c>
      <c r="D177" s="59"/>
      <c r="E177" s="39" t="str">
        <f>HYPERLINK("https://www.google.ru/search?q=1365671-001&amp;newwindow=1&amp;tbm=isch","Еще фото")</f>
        <v>Еще фото</v>
      </c>
      <c r="F177" s="13"/>
      <c r="G177" s="11" t="s">
        <v>26</v>
      </c>
      <c r="H177" s="11" t="s">
        <v>27</v>
      </c>
      <c r="I177" s="14" t="s">
        <v>28</v>
      </c>
      <c r="J177" s="14" t="s">
        <v>47</v>
      </c>
      <c r="K177" s="15" t="s">
        <v>30</v>
      </c>
      <c r="L177" s="56" t="s">
        <v>346</v>
      </c>
      <c r="M177" s="14" t="s">
        <v>347</v>
      </c>
      <c r="N177" s="14" t="s">
        <v>33</v>
      </c>
      <c r="O177" s="14" t="s">
        <v>34</v>
      </c>
      <c r="P177" s="15" t="s">
        <v>100</v>
      </c>
      <c r="Q177" s="16">
        <v>13999</v>
      </c>
      <c r="R177" s="17">
        <v>40</v>
      </c>
      <c r="S177" s="18">
        <v>9659.31</v>
      </c>
      <c r="T177" s="19" t="s">
        <v>36</v>
      </c>
      <c r="U177" s="20" t="s">
        <v>37</v>
      </c>
      <c r="V177" s="21" t="s">
        <v>38</v>
      </c>
      <c r="W177" s="22">
        <v>10</v>
      </c>
      <c r="X177" s="23"/>
    </row>
    <row r="178" spans="1:24" s="1" customFormat="1" ht="60.95" customHeight="1" x14ac:dyDescent="0.3">
      <c r="A178" s="24" t="s">
        <v>23</v>
      </c>
      <c r="B178" s="24" t="s">
        <v>344</v>
      </c>
      <c r="C178" s="12" t="s">
        <v>345</v>
      </c>
      <c r="D178" s="60"/>
      <c r="E178" s="39" t="str">
        <f>HYPERLINK("https://www.google.ru/search?q=1365671-001&amp;newwindow=1&amp;tbm=isch","Еще фото")</f>
        <v>Еще фото</v>
      </c>
      <c r="F178" s="13"/>
      <c r="G178" s="24" t="s">
        <v>26</v>
      </c>
      <c r="H178" s="24" t="s">
        <v>27</v>
      </c>
      <c r="I178" s="24" t="s">
        <v>28</v>
      </c>
      <c r="J178" s="14" t="s">
        <v>47</v>
      </c>
      <c r="K178" s="15" t="s">
        <v>30</v>
      </c>
      <c r="L178" s="58"/>
      <c r="M178" s="14" t="s">
        <v>347</v>
      </c>
      <c r="N178" s="14" t="s">
        <v>33</v>
      </c>
      <c r="O178" s="14" t="s">
        <v>34</v>
      </c>
      <c r="P178" s="15" t="s">
        <v>100</v>
      </c>
      <c r="Q178" s="16">
        <v>13999</v>
      </c>
      <c r="R178" s="17">
        <v>40</v>
      </c>
      <c r="S178" s="18">
        <v>9659.31</v>
      </c>
      <c r="T178" s="19" t="s">
        <v>36</v>
      </c>
      <c r="U178" s="20" t="s">
        <v>39</v>
      </c>
      <c r="V178" s="21" t="s">
        <v>40</v>
      </c>
      <c r="W178" s="22">
        <v>6</v>
      </c>
      <c r="X178" s="23"/>
    </row>
    <row r="179" spans="1:24" s="1" customFormat="1" ht="51.95" customHeight="1" x14ac:dyDescent="0.3">
      <c r="A179" s="11" t="s">
        <v>23</v>
      </c>
      <c r="B179" s="11" t="s">
        <v>348</v>
      </c>
      <c r="C179" s="12" t="s">
        <v>349</v>
      </c>
      <c r="D179" s="59"/>
      <c r="E179" s="39" t="str">
        <f>HYPERLINK("https://www.google.ru/search?q=1369292-698&amp;newwindow=1&amp;tbm=isch","Еще фото")</f>
        <v>Еще фото</v>
      </c>
      <c r="F179" s="13"/>
      <c r="G179" s="11" t="s">
        <v>82</v>
      </c>
      <c r="H179" s="11" t="s">
        <v>27</v>
      </c>
      <c r="I179" s="14" t="s">
        <v>28</v>
      </c>
      <c r="J179" s="14" t="s">
        <v>29</v>
      </c>
      <c r="K179" s="15" t="s">
        <v>64</v>
      </c>
      <c r="L179" s="56" t="s">
        <v>350</v>
      </c>
      <c r="M179" s="14"/>
      <c r="N179" s="14" t="s">
        <v>57</v>
      </c>
      <c r="O179" s="14"/>
      <c r="P179" s="15" t="s">
        <v>100</v>
      </c>
      <c r="Q179" s="16">
        <v>5499</v>
      </c>
      <c r="R179" s="17">
        <v>40</v>
      </c>
      <c r="S179" s="18">
        <v>3794.31</v>
      </c>
      <c r="T179" s="19" t="s">
        <v>36</v>
      </c>
      <c r="U179" s="20" t="s">
        <v>69</v>
      </c>
      <c r="V179" s="21" t="s">
        <v>70</v>
      </c>
      <c r="W179" s="22">
        <v>2</v>
      </c>
      <c r="X179" s="23"/>
    </row>
    <row r="180" spans="1:24" s="1" customFormat="1" ht="60.95" customHeight="1" x14ac:dyDescent="0.3">
      <c r="A180" s="24" t="s">
        <v>23</v>
      </c>
      <c r="B180" s="24" t="s">
        <v>348</v>
      </c>
      <c r="C180" s="12" t="s">
        <v>349</v>
      </c>
      <c r="D180" s="60"/>
      <c r="E180" s="39" t="str">
        <f>HYPERLINK("https://www.google.ru/search?q=1369292-698&amp;newwindow=1&amp;tbm=isch","Еще фото")</f>
        <v>Еще фото</v>
      </c>
      <c r="F180" s="13"/>
      <c r="G180" s="24" t="s">
        <v>82</v>
      </c>
      <c r="H180" s="24" t="s">
        <v>27</v>
      </c>
      <c r="I180" s="24" t="s">
        <v>28</v>
      </c>
      <c r="J180" s="14" t="s">
        <v>29</v>
      </c>
      <c r="K180" s="15" t="s">
        <v>64</v>
      </c>
      <c r="L180" s="58"/>
      <c r="M180" s="14"/>
      <c r="N180" s="14" t="s">
        <v>57</v>
      </c>
      <c r="O180" s="14"/>
      <c r="P180" s="15" t="s">
        <v>100</v>
      </c>
      <c r="Q180" s="16">
        <v>5499</v>
      </c>
      <c r="R180" s="17">
        <v>40</v>
      </c>
      <c r="S180" s="18">
        <v>3794.31</v>
      </c>
      <c r="T180" s="19" t="s">
        <v>36</v>
      </c>
      <c r="U180" s="20" t="s">
        <v>41</v>
      </c>
      <c r="V180" s="21" t="s">
        <v>40</v>
      </c>
      <c r="W180" s="22">
        <v>5</v>
      </c>
      <c r="X180" s="23"/>
    </row>
    <row r="181" spans="1:24" s="1" customFormat="1" ht="26.1" customHeight="1" x14ac:dyDescent="0.3">
      <c r="A181" s="11" t="s">
        <v>23</v>
      </c>
      <c r="B181" s="11" t="s">
        <v>351</v>
      </c>
      <c r="C181" s="12" t="s">
        <v>352</v>
      </c>
      <c r="D181" s="53"/>
      <c r="E181" s="39" t="str">
        <f>HYPERLINK("https://www.google.ru/search?q=1369385-002&amp;newwindow=1&amp;tbm=isch","Еще фото")</f>
        <v>Еще фото</v>
      </c>
      <c r="F181" s="13"/>
      <c r="G181" s="11" t="s">
        <v>28</v>
      </c>
      <c r="H181" s="11" t="s">
        <v>27</v>
      </c>
      <c r="I181" s="14" t="s">
        <v>28</v>
      </c>
      <c r="J181" s="14" t="s">
        <v>29</v>
      </c>
      <c r="K181" s="15" t="s">
        <v>64</v>
      </c>
      <c r="L181" s="56" t="s">
        <v>353</v>
      </c>
      <c r="M181" s="14"/>
      <c r="N181" s="14" t="s">
        <v>33</v>
      </c>
      <c r="O181" s="14"/>
      <c r="P181" s="15" t="s">
        <v>230</v>
      </c>
      <c r="Q181" s="16">
        <v>7099</v>
      </c>
      <c r="R181" s="17">
        <v>40</v>
      </c>
      <c r="S181" s="18">
        <v>4898.3099999999995</v>
      </c>
      <c r="T181" s="19" t="s">
        <v>36</v>
      </c>
      <c r="U181" s="20" t="s">
        <v>69</v>
      </c>
      <c r="V181" s="21" t="s">
        <v>70</v>
      </c>
      <c r="W181" s="22">
        <v>6</v>
      </c>
      <c r="X181" s="23"/>
    </row>
    <row r="182" spans="1:24" s="1" customFormat="1" ht="26.1" customHeight="1" x14ac:dyDescent="0.3">
      <c r="A182" s="24" t="s">
        <v>23</v>
      </c>
      <c r="B182" s="24" t="s">
        <v>351</v>
      </c>
      <c r="C182" s="12" t="s">
        <v>352</v>
      </c>
      <c r="D182" s="54"/>
      <c r="E182" s="39" t="str">
        <f>HYPERLINK("https://www.google.ru/search?q=1369385-002&amp;newwindow=1&amp;tbm=isch","Еще фото")</f>
        <v>Еще фото</v>
      </c>
      <c r="F182" s="13"/>
      <c r="G182" s="24" t="s">
        <v>28</v>
      </c>
      <c r="H182" s="24" t="s">
        <v>27</v>
      </c>
      <c r="I182" s="24" t="s">
        <v>28</v>
      </c>
      <c r="J182" s="14" t="s">
        <v>29</v>
      </c>
      <c r="K182" s="15" t="s">
        <v>64</v>
      </c>
      <c r="L182" s="57"/>
      <c r="M182" s="14"/>
      <c r="N182" s="14" t="s">
        <v>33</v>
      </c>
      <c r="O182" s="14"/>
      <c r="P182" s="15" t="s">
        <v>230</v>
      </c>
      <c r="Q182" s="16">
        <v>7099</v>
      </c>
      <c r="R182" s="17">
        <v>40</v>
      </c>
      <c r="S182" s="18">
        <v>4898.3099999999995</v>
      </c>
      <c r="T182" s="19" t="s">
        <v>36</v>
      </c>
      <c r="U182" s="20" t="s">
        <v>39</v>
      </c>
      <c r="V182" s="21" t="s">
        <v>38</v>
      </c>
      <c r="W182" s="22">
        <v>1</v>
      </c>
      <c r="X182" s="23"/>
    </row>
    <row r="183" spans="1:24" s="1" customFormat="1" ht="26.1" customHeight="1" x14ac:dyDescent="0.3">
      <c r="A183" s="24" t="s">
        <v>23</v>
      </c>
      <c r="B183" s="24" t="s">
        <v>351</v>
      </c>
      <c r="C183" s="12" t="s">
        <v>352</v>
      </c>
      <c r="D183" s="54"/>
      <c r="E183" s="39" t="str">
        <f>HYPERLINK("https://www.google.ru/search?q=1369385-002&amp;newwindow=1&amp;tbm=isch","Еще фото")</f>
        <v>Еще фото</v>
      </c>
      <c r="F183" s="13"/>
      <c r="G183" s="24" t="s">
        <v>28</v>
      </c>
      <c r="H183" s="24" t="s">
        <v>27</v>
      </c>
      <c r="I183" s="24" t="s">
        <v>28</v>
      </c>
      <c r="J183" s="14" t="s">
        <v>29</v>
      </c>
      <c r="K183" s="15" t="s">
        <v>64</v>
      </c>
      <c r="L183" s="57"/>
      <c r="M183" s="14"/>
      <c r="N183" s="14" t="s">
        <v>33</v>
      </c>
      <c r="O183" s="14"/>
      <c r="P183" s="15" t="s">
        <v>230</v>
      </c>
      <c r="Q183" s="16">
        <v>7099</v>
      </c>
      <c r="R183" s="17">
        <v>40</v>
      </c>
      <c r="S183" s="18">
        <v>4898.3099999999995</v>
      </c>
      <c r="T183" s="19" t="s">
        <v>36</v>
      </c>
      <c r="U183" s="20" t="s">
        <v>41</v>
      </c>
      <c r="V183" s="21" t="s">
        <v>40</v>
      </c>
      <c r="W183" s="22">
        <v>2</v>
      </c>
      <c r="X183" s="23"/>
    </row>
    <row r="184" spans="1:24" s="1" customFormat="1" ht="26.1" customHeight="1" x14ac:dyDescent="0.3">
      <c r="A184" s="24" t="s">
        <v>23</v>
      </c>
      <c r="B184" s="24" t="s">
        <v>351</v>
      </c>
      <c r="C184" s="12" t="s">
        <v>352</v>
      </c>
      <c r="D184" s="55"/>
      <c r="E184" s="39" t="str">
        <f>HYPERLINK("https://www.google.ru/search?q=1369385-002&amp;newwindow=1&amp;tbm=isch","Еще фото")</f>
        <v>Еще фото</v>
      </c>
      <c r="F184" s="13"/>
      <c r="G184" s="24" t="s">
        <v>28</v>
      </c>
      <c r="H184" s="24" t="s">
        <v>27</v>
      </c>
      <c r="I184" s="24" t="s">
        <v>28</v>
      </c>
      <c r="J184" s="14" t="s">
        <v>29</v>
      </c>
      <c r="K184" s="15" t="s">
        <v>64</v>
      </c>
      <c r="L184" s="58"/>
      <c r="M184" s="14"/>
      <c r="N184" s="14" t="s">
        <v>33</v>
      </c>
      <c r="O184" s="14"/>
      <c r="P184" s="15" t="s">
        <v>230</v>
      </c>
      <c r="Q184" s="16">
        <v>7099</v>
      </c>
      <c r="R184" s="17">
        <v>40</v>
      </c>
      <c r="S184" s="18">
        <v>4898.3099999999995</v>
      </c>
      <c r="T184" s="19" t="s">
        <v>36</v>
      </c>
      <c r="U184" s="20" t="s">
        <v>43</v>
      </c>
      <c r="V184" s="21" t="s">
        <v>42</v>
      </c>
      <c r="W184" s="22">
        <v>1</v>
      </c>
      <c r="X184" s="23"/>
    </row>
    <row r="185" spans="1:24" s="1" customFormat="1" ht="108" customHeight="1" x14ac:dyDescent="0.3">
      <c r="A185" s="11" t="s">
        <v>23</v>
      </c>
      <c r="B185" s="11" t="s">
        <v>351</v>
      </c>
      <c r="C185" s="12" t="s">
        <v>354</v>
      </c>
      <c r="D185" s="25"/>
      <c r="E185" s="39" t="str">
        <f>HYPERLINK("https://www.google.ru/search?q=1369385-020&amp;newwindow=1&amp;tbm=isch","Еще фото")</f>
        <v>Еще фото</v>
      </c>
      <c r="F185" s="13"/>
      <c r="G185" s="11" t="s">
        <v>28</v>
      </c>
      <c r="H185" s="11" t="s">
        <v>27</v>
      </c>
      <c r="I185" s="14" t="s">
        <v>28</v>
      </c>
      <c r="J185" s="14" t="s">
        <v>29</v>
      </c>
      <c r="K185" s="15" t="s">
        <v>64</v>
      </c>
      <c r="L185" s="14" t="s">
        <v>353</v>
      </c>
      <c r="M185" s="14"/>
      <c r="N185" s="14" t="s">
        <v>84</v>
      </c>
      <c r="O185" s="14"/>
      <c r="P185" s="15" t="s">
        <v>230</v>
      </c>
      <c r="Q185" s="16">
        <v>7099</v>
      </c>
      <c r="R185" s="17">
        <v>40</v>
      </c>
      <c r="S185" s="18">
        <v>4898.3099999999995</v>
      </c>
      <c r="T185" s="19" t="s">
        <v>36</v>
      </c>
      <c r="U185" s="20" t="s">
        <v>69</v>
      </c>
      <c r="V185" s="21" t="s">
        <v>70</v>
      </c>
      <c r="W185" s="22">
        <v>4</v>
      </c>
      <c r="X185" s="23"/>
    </row>
    <row r="186" spans="1:24" s="1" customFormat="1" ht="108" customHeight="1" x14ac:dyDescent="0.3">
      <c r="A186" s="11" t="s">
        <v>23</v>
      </c>
      <c r="B186" s="11" t="s">
        <v>355</v>
      </c>
      <c r="C186" s="12" t="s">
        <v>356</v>
      </c>
      <c r="D186" s="25"/>
      <c r="E186" s="39" t="str">
        <f>HYPERLINK("https://www.google.ru/search?q=1369772-008&amp;newwindow=1&amp;tbm=isch","Еще фото")</f>
        <v>Еще фото</v>
      </c>
      <c r="F186" s="13"/>
      <c r="G186" s="11" t="s">
        <v>357</v>
      </c>
      <c r="H186" s="11" t="s">
        <v>27</v>
      </c>
      <c r="I186" s="14" t="s">
        <v>28</v>
      </c>
      <c r="J186" s="14" t="s">
        <v>29</v>
      </c>
      <c r="K186" s="15" t="s">
        <v>64</v>
      </c>
      <c r="L186" s="14" t="s">
        <v>358</v>
      </c>
      <c r="M186" s="14"/>
      <c r="N186" s="14" t="s">
        <v>33</v>
      </c>
      <c r="O186" s="14"/>
      <c r="P186" s="15" t="s">
        <v>178</v>
      </c>
      <c r="Q186" s="16">
        <v>7699</v>
      </c>
      <c r="R186" s="17">
        <v>40</v>
      </c>
      <c r="S186" s="18">
        <v>5312.3099999999995</v>
      </c>
      <c r="T186" s="19" t="s">
        <v>36</v>
      </c>
      <c r="U186" s="20" t="s">
        <v>69</v>
      </c>
      <c r="V186" s="21" t="s">
        <v>70</v>
      </c>
      <c r="W186" s="22">
        <v>5</v>
      </c>
      <c r="X186" s="23"/>
    </row>
    <row r="187" spans="1:24" s="1" customFormat="1" ht="108" customHeight="1" x14ac:dyDescent="0.3">
      <c r="A187" s="11" t="s">
        <v>23</v>
      </c>
      <c r="B187" s="11" t="s">
        <v>355</v>
      </c>
      <c r="C187" s="12" t="s">
        <v>359</v>
      </c>
      <c r="D187" s="25"/>
      <c r="E187" s="39" t="str">
        <f>HYPERLINK("https://www.google.ru/search?q=1369772-044&amp;newwindow=1&amp;tbm=isch","Еще фото")</f>
        <v>Еще фото</v>
      </c>
      <c r="F187" s="13"/>
      <c r="G187" s="11" t="s">
        <v>357</v>
      </c>
      <c r="H187" s="11" t="s">
        <v>27</v>
      </c>
      <c r="I187" s="14" t="s">
        <v>28</v>
      </c>
      <c r="J187" s="14" t="s">
        <v>29</v>
      </c>
      <c r="K187" s="15" t="s">
        <v>64</v>
      </c>
      <c r="L187" s="14" t="s">
        <v>358</v>
      </c>
      <c r="M187" s="14"/>
      <c r="N187" s="14" t="s">
        <v>84</v>
      </c>
      <c r="O187" s="14"/>
      <c r="P187" s="15" t="s">
        <v>178</v>
      </c>
      <c r="Q187" s="16">
        <v>7699</v>
      </c>
      <c r="R187" s="17">
        <v>40</v>
      </c>
      <c r="S187" s="18">
        <v>5312.3099999999995</v>
      </c>
      <c r="T187" s="19" t="s">
        <v>36</v>
      </c>
      <c r="U187" s="20" t="s">
        <v>69</v>
      </c>
      <c r="V187" s="21" t="s">
        <v>70</v>
      </c>
      <c r="W187" s="22">
        <v>5</v>
      </c>
      <c r="X187" s="23"/>
    </row>
    <row r="188" spans="1:24" s="1" customFormat="1" ht="51.95" customHeight="1" x14ac:dyDescent="0.3">
      <c r="A188" s="11" t="s">
        <v>23</v>
      </c>
      <c r="B188" s="11" t="s">
        <v>360</v>
      </c>
      <c r="C188" s="12" t="s">
        <v>361</v>
      </c>
      <c r="D188" s="59"/>
      <c r="E188" s="39" t="str">
        <f>HYPERLINK("https://www.google.ru/search?q=1369773-001&amp;newwindow=1&amp;tbm=isch","Еще фото")</f>
        <v>Еще фото</v>
      </c>
      <c r="F188" s="13" t="s">
        <v>98</v>
      </c>
      <c r="G188" s="11" t="s">
        <v>26</v>
      </c>
      <c r="H188" s="11" t="s">
        <v>27</v>
      </c>
      <c r="I188" s="14" t="s">
        <v>28</v>
      </c>
      <c r="J188" s="14" t="s">
        <v>29</v>
      </c>
      <c r="K188" s="15" t="s">
        <v>64</v>
      </c>
      <c r="L188" s="56" t="s">
        <v>362</v>
      </c>
      <c r="M188" s="14"/>
      <c r="N188" s="14" t="s">
        <v>33</v>
      </c>
      <c r="O188" s="14"/>
      <c r="P188" s="15" t="s">
        <v>178</v>
      </c>
      <c r="Q188" s="16">
        <v>6599</v>
      </c>
      <c r="R188" s="17">
        <v>40</v>
      </c>
      <c r="S188" s="18">
        <v>4553.3099999999995</v>
      </c>
      <c r="T188" s="19" t="s">
        <v>36</v>
      </c>
      <c r="U188" s="20" t="s">
        <v>69</v>
      </c>
      <c r="V188" s="21" t="s">
        <v>70</v>
      </c>
      <c r="W188" s="22">
        <v>20</v>
      </c>
      <c r="X188" s="23"/>
    </row>
    <row r="189" spans="1:24" s="1" customFormat="1" ht="60.95" customHeight="1" x14ac:dyDescent="0.3">
      <c r="A189" s="24" t="s">
        <v>23</v>
      </c>
      <c r="B189" s="24" t="s">
        <v>360</v>
      </c>
      <c r="C189" s="12" t="s">
        <v>361</v>
      </c>
      <c r="D189" s="60"/>
      <c r="E189" s="39" t="str">
        <f>HYPERLINK("https://www.google.ru/search?q=1369773-001&amp;newwindow=1&amp;tbm=isch","Еще фото")</f>
        <v>Еще фото</v>
      </c>
      <c r="F189" s="13" t="s">
        <v>98</v>
      </c>
      <c r="G189" s="24" t="s">
        <v>26</v>
      </c>
      <c r="H189" s="24" t="s">
        <v>27</v>
      </c>
      <c r="I189" s="24" t="s">
        <v>28</v>
      </c>
      <c r="J189" s="14" t="s">
        <v>29</v>
      </c>
      <c r="K189" s="15" t="s">
        <v>64</v>
      </c>
      <c r="L189" s="58"/>
      <c r="M189" s="14"/>
      <c r="N189" s="14" t="s">
        <v>33</v>
      </c>
      <c r="O189" s="14"/>
      <c r="P189" s="15" t="s">
        <v>178</v>
      </c>
      <c r="Q189" s="16">
        <v>6599</v>
      </c>
      <c r="R189" s="17">
        <v>40</v>
      </c>
      <c r="S189" s="18">
        <v>4553.3099999999995</v>
      </c>
      <c r="T189" s="19" t="s">
        <v>36</v>
      </c>
      <c r="U189" s="20" t="s">
        <v>37</v>
      </c>
      <c r="V189" s="21" t="s">
        <v>86</v>
      </c>
      <c r="W189" s="22">
        <v>1</v>
      </c>
      <c r="X189" s="23"/>
    </row>
    <row r="190" spans="1:24" s="1" customFormat="1" ht="35.1" customHeight="1" x14ac:dyDescent="0.3">
      <c r="A190" s="11" t="s">
        <v>23</v>
      </c>
      <c r="B190" s="11" t="s">
        <v>363</v>
      </c>
      <c r="C190" s="12" t="s">
        <v>364</v>
      </c>
      <c r="D190" s="53"/>
      <c r="E190" s="39" t="str">
        <f>HYPERLINK("https://www.google.ru/search?q=1369773-348&amp;newwindow=1&amp;tbm=isch","Еще фото")</f>
        <v>Еще фото</v>
      </c>
      <c r="F190" s="13"/>
      <c r="G190" s="11" t="s">
        <v>26</v>
      </c>
      <c r="H190" s="11" t="s">
        <v>27</v>
      </c>
      <c r="I190" s="14" t="s">
        <v>28</v>
      </c>
      <c r="J190" s="14" t="s">
        <v>29</v>
      </c>
      <c r="K190" s="15" t="s">
        <v>64</v>
      </c>
      <c r="L190" s="56"/>
      <c r="M190" s="14"/>
      <c r="N190" s="14" t="s">
        <v>125</v>
      </c>
      <c r="O190" s="14"/>
      <c r="P190" s="15" t="s">
        <v>178</v>
      </c>
      <c r="Q190" s="16">
        <v>7099</v>
      </c>
      <c r="R190" s="17">
        <v>40</v>
      </c>
      <c r="S190" s="18">
        <v>4898.3099999999995</v>
      </c>
      <c r="T190" s="19" t="s">
        <v>36</v>
      </c>
      <c r="U190" s="20" t="s">
        <v>69</v>
      </c>
      <c r="V190" s="21" t="s">
        <v>70</v>
      </c>
      <c r="W190" s="22">
        <v>4</v>
      </c>
      <c r="X190" s="23"/>
    </row>
    <row r="191" spans="1:24" s="1" customFormat="1" ht="35.1" customHeight="1" x14ac:dyDescent="0.3">
      <c r="A191" s="24" t="s">
        <v>23</v>
      </c>
      <c r="B191" s="24" t="s">
        <v>363</v>
      </c>
      <c r="C191" s="12" t="s">
        <v>364</v>
      </c>
      <c r="D191" s="54"/>
      <c r="E191" s="39" t="str">
        <f>HYPERLINK("https://www.google.ru/search?q=1369773-348&amp;newwindow=1&amp;tbm=isch","Еще фото")</f>
        <v>Еще фото</v>
      </c>
      <c r="F191" s="13"/>
      <c r="G191" s="24" t="s">
        <v>26</v>
      </c>
      <c r="H191" s="24" t="s">
        <v>27</v>
      </c>
      <c r="I191" s="24" t="s">
        <v>28</v>
      </c>
      <c r="J191" s="14" t="s">
        <v>29</v>
      </c>
      <c r="K191" s="15" t="s">
        <v>64</v>
      </c>
      <c r="L191" s="57"/>
      <c r="M191" s="14"/>
      <c r="N191" s="14" t="s">
        <v>125</v>
      </c>
      <c r="O191" s="14"/>
      <c r="P191" s="15" t="s">
        <v>178</v>
      </c>
      <c r="Q191" s="16">
        <v>7099</v>
      </c>
      <c r="R191" s="17">
        <v>40</v>
      </c>
      <c r="S191" s="18">
        <v>4898.3099999999995</v>
      </c>
      <c r="T191" s="19" t="s">
        <v>36</v>
      </c>
      <c r="U191" s="20" t="s">
        <v>37</v>
      </c>
      <c r="V191" s="21" t="s">
        <v>86</v>
      </c>
      <c r="W191" s="22">
        <v>3</v>
      </c>
      <c r="X191" s="23"/>
    </row>
    <row r="192" spans="1:24" s="1" customFormat="1" ht="36.950000000000003" customHeight="1" x14ac:dyDescent="0.3">
      <c r="A192" s="24" t="s">
        <v>23</v>
      </c>
      <c r="B192" s="24" t="s">
        <v>363</v>
      </c>
      <c r="C192" s="12" t="s">
        <v>364</v>
      </c>
      <c r="D192" s="55"/>
      <c r="E192" s="39" t="str">
        <f>HYPERLINK("https://www.google.ru/search?q=1369773-348&amp;newwindow=1&amp;tbm=isch","Еще фото")</f>
        <v>Еще фото</v>
      </c>
      <c r="F192" s="13"/>
      <c r="G192" s="24" t="s">
        <v>26</v>
      </c>
      <c r="H192" s="24" t="s">
        <v>27</v>
      </c>
      <c r="I192" s="24" t="s">
        <v>28</v>
      </c>
      <c r="J192" s="14" t="s">
        <v>29</v>
      </c>
      <c r="K192" s="15" t="s">
        <v>64</v>
      </c>
      <c r="L192" s="58"/>
      <c r="M192" s="14"/>
      <c r="N192" s="14" t="s">
        <v>125</v>
      </c>
      <c r="O192" s="14"/>
      <c r="P192" s="15" t="s">
        <v>178</v>
      </c>
      <c r="Q192" s="16">
        <v>7099</v>
      </c>
      <c r="R192" s="17">
        <v>40</v>
      </c>
      <c r="S192" s="18">
        <v>4898.3099999999995</v>
      </c>
      <c r="T192" s="19" t="s">
        <v>36</v>
      </c>
      <c r="U192" s="20" t="s">
        <v>39</v>
      </c>
      <c r="V192" s="21" t="s">
        <v>38</v>
      </c>
      <c r="W192" s="22">
        <v>3</v>
      </c>
      <c r="X192" s="23"/>
    </row>
    <row r="193" spans="1:24" s="1" customFormat="1" ht="108" customHeight="1" x14ac:dyDescent="0.3">
      <c r="A193" s="11" t="s">
        <v>23</v>
      </c>
      <c r="B193" s="11" t="s">
        <v>365</v>
      </c>
      <c r="C193" s="12" t="s">
        <v>366</v>
      </c>
      <c r="D193" s="25"/>
      <c r="E193" s="39" t="str">
        <f>HYPERLINK("https://www.google.ru/search?q=1369854-001&amp;newwindow=1&amp;tbm=isch","Еще фото")</f>
        <v>Еще фото</v>
      </c>
      <c r="F193" s="13"/>
      <c r="G193" s="11" t="s">
        <v>28</v>
      </c>
      <c r="H193" s="11" t="s">
        <v>27</v>
      </c>
      <c r="I193" s="14" t="s">
        <v>28</v>
      </c>
      <c r="J193" s="14" t="s">
        <v>29</v>
      </c>
      <c r="K193" s="15" t="s">
        <v>64</v>
      </c>
      <c r="L193" s="14" t="s">
        <v>367</v>
      </c>
      <c r="M193" s="14" t="s">
        <v>223</v>
      </c>
      <c r="N193" s="14" t="s">
        <v>33</v>
      </c>
      <c r="O193" s="14"/>
      <c r="P193" s="15" t="s">
        <v>368</v>
      </c>
      <c r="Q193" s="16">
        <v>7399</v>
      </c>
      <c r="R193" s="17">
        <v>40</v>
      </c>
      <c r="S193" s="18">
        <v>5105.3099999999995</v>
      </c>
      <c r="T193" s="19" t="s">
        <v>36</v>
      </c>
      <c r="U193" s="20" t="s">
        <v>39</v>
      </c>
      <c r="V193" s="21" t="s">
        <v>38</v>
      </c>
      <c r="W193" s="22">
        <v>1</v>
      </c>
      <c r="X193" s="23"/>
    </row>
    <row r="194" spans="1:24" s="1" customFormat="1" ht="108" customHeight="1" x14ac:dyDescent="0.3">
      <c r="A194" s="11" t="s">
        <v>23</v>
      </c>
      <c r="B194" s="11" t="s">
        <v>369</v>
      </c>
      <c r="C194" s="12" t="s">
        <v>370</v>
      </c>
      <c r="D194" s="25"/>
      <c r="E194" s="39" t="str">
        <f>HYPERLINK("https://www.google.ru/search?q=1373004-001&amp;newwindow=1&amp;tbm=isch","Еще фото")</f>
        <v>Еще фото</v>
      </c>
      <c r="F194" s="13"/>
      <c r="G194" s="11" t="s">
        <v>28</v>
      </c>
      <c r="H194" s="11" t="s">
        <v>27</v>
      </c>
      <c r="I194" s="14" t="s">
        <v>28</v>
      </c>
      <c r="J194" s="14" t="s">
        <v>29</v>
      </c>
      <c r="K194" s="15" t="s">
        <v>54</v>
      </c>
      <c r="L194" s="14" t="s">
        <v>371</v>
      </c>
      <c r="M194" s="14" t="s">
        <v>214</v>
      </c>
      <c r="N194" s="14" t="s">
        <v>33</v>
      </c>
      <c r="O194" s="14"/>
      <c r="P194" s="15" t="s">
        <v>100</v>
      </c>
      <c r="Q194" s="16">
        <v>5699</v>
      </c>
      <c r="R194" s="17">
        <v>40</v>
      </c>
      <c r="S194" s="18">
        <v>3932.31</v>
      </c>
      <c r="T194" s="19" t="s">
        <v>36</v>
      </c>
      <c r="U194" s="20" t="s">
        <v>126</v>
      </c>
      <c r="V194" s="21" t="s">
        <v>127</v>
      </c>
      <c r="W194" s="22">
        <v>3</v>
      </c>
      <c r="X194" s="23"/>
    </row>
    <row r="195" spans="1:24" s="1" customFormat="1" ht="35.1" customHeight="1" x14ac:dyDescent="0.3">
      <c r="A195" s="11" t="s">
        <v>23</v>
      </c>
      <c r="B195" s="11" t="s">
        <v>372</v>
      </c>
      <c r="C195" s="12" t="s">
        <v>373</v>
      </c>
      <c r="D195" s="53"/>
      <c r="E195" s="39" t="str">
        <f>HYPERLINK("https://www.google.ru/search?q=1373362-001&amp;newwindow=1&amp;tbm=isch","Еще фото")</f>
        <v>Еще фото</v>
      </c>
      <c r="F195" s="13" t="s">
        <v>310</v>
      </c>
      <c r="G195" s="11" t="s">
        <v>28</v>
      </c>
      <c r="H195" s="11" t="s">
        <v>27</v>
      </c>
      <c r="I195" s="14" t="s">
        <v>28</v>
      </c>
      <c r="J195" s="14" t="s">
        <v>29</v>
      </c>
      <c r="K195" s="15" t="s">
        <v>30</v>
      </c>
      <c r="L195" s="56" t="s">
        <v>89</v>
      </c>
      <c r="M195" s="14"/>
      <c r="N195" s="14" t="s">
        <v>33</v>
      </c>
      <c r="O195" s="14"/>
      <c r="P195" s="15" t="s">
        <v>51</v>
      </c>
      <c r="Q195" s="16">
        <v>10099</v>
      </c>
      <c r="R195" s="17">
        <v>40</v>
      </c>
      <c r="S195" s="18">
        <v>6968.3099999999995</v>
      </c>
      <c r="T195" s="19" t="s">
        <v>36</v>
      </c>
      <c r="U195" s="20" t="s">
        <v>37</v>
      </c>
      <c r="V195" s="21" t="s">
        <v>38</v>
      </c>
      <c r="W195" s="22">
        <v>23</v>
      </c>
      <c r="X195" s="23"/>
    </row>
    <row r="196" spans="1:24" s="1" customFormat="1" ht="35.1" customHeight="1" x14ac:dyDescent="0.3">
      <c r="A196" s="24" t="s">
        <v>23</v>
      </c>
      <c r="B196" s="24" t="s">
        <v>372</v>
      </c>
      <c r="C196" s="12" t="s">
        <v>373</v>
      </c>
      <c r="D196" s="54"/>
      <c r="E196" s="39" t="str">
        <f>HYPERLINK("https://www.google.ru/search?q=1373362-001&amp;newwindow=1&amp;tbm=isch","Еще фото")</f>
        <v>Еще фото</v>
      </c>
      <c r="F196" s="13" t="s">
        <v>310</v>
      </c>
      <c r="G196" s="24" t="s">
        <v>28</v>
      </c>
      <c r="H196" s="24" t="s">
        <v>27</v>
      </c>
      <c r="I196" s="24" t="s">
        <v>28</v>
      </c>
      <c r="J196" s="14" t="s">
        <v>29</v>
      </c>
      <c r="K196" s="15" t="s">
        <v>30</v>
      </c>
      <c r="L196" s="57"/>
      <c r="M196" s="14"/>
      <c r="N196" s="14" t="s">
        <v>33</v>
      </c>
      <c r="O196" s="14"/>
      <c r="P196" s="15" t="s">
        <v>51</v>
      </c>
      <c r="Q196" s="16">
        <v>10099</v>
      </c>
      <c r="R196" s="17">
        <v>40</v>
      </c>
      <c r="S196" s="18">
        <v>6968.3099999999995</v>
      </c>
      <c r="T196" s="19" t="s">
        <v>36</v>
      </c>
      <c r="U196" s="20" t="s">
        <v>39</v>
      </c>
      <c r="V196" s="21" t="s">
        <v>40</v>
      </c>
      <c r="W196" s="22">
        <v>52</v>
      </c>
      <c r="X196" s="23"/>
    </row>
    <row r="197" spans="1:24" s="1" customFormat="1" ht="36.950000000000003" customHeight="1" x14ac:dyDescent="0.3">
      <c r="A197" s="24" t="s">
        <v>23</v>
      </c>
      <c r="B197" s="24" t="s">
        <v>372</v>
      </c>
      <c r="C197" s="12" t="s">
        <v>373</v>
      </c>
      <c r="D197" s="55"/>
      <c r="E197" s="39" t="str">
        <f>HYPERLINK("https://www.google.ru/search?q=1373362-001&amp;newwindow=1&amp;tbm=isch","Еще фото")</f>
        <v>Еще фото</v>
      </c>
      <c r="F197" s="13" t="s">
        <v>310</v>
      </c>
      <c r="G197" s="24" t="s">
        <v>28</v>
      </c>
      <c r="H197" s="24" t="s">
        <v>27</v>
      </c>
      <c r="I197" s="24" t="s">
        <v>28</v>
      </c>
      <c r="J197" s="14" t="s">
        <v>29</v>
      </c>
      <c r="K197" s="15" t="s">
        <v>30</v>
      </c>
      <c r="L197" s="58"/>
      <c r="M197" s="14"/>
      <c r="N197" s="14" t="s">
        <v>33</v>
      </c>
      <c r="O197" s="14"/>
      <c r="P197" s="15" t="s">
        <v>51</v>
      </c>
      <c r="Q197" s="16">
        <v>10099</v>
      </c>
      <c r="R197" s="17">
        <v>40</v>
      </c>
      <c r="S197" s="18">
        <v>6968.3099999999995</v>
      </c>
      <c r="T197" s="19" t="s">
        <v>36</v>
      </c>
      <c r="U197" s="20" t="s">
        <v>41</v>
      </c>
      <c r="V197" s="21" t="s">
        <v>42</v>
      </c>
      <c r="W197" s="22">
        <v>11</v>
      </c>
      <c r="X197" s="23"/>
    </row>
    <row r="198" spans="1:24" s="1" customFormat="1" ht="35.1" customHeight="1" x14ac:dyDescent="0.3">
      <c r="A198" s="11" t="s">
        <v>23</v>
      </c>
      <c r="B198" s="11" t="s">
        <v>101</v>
      </c>
      <c r="C198" s="12" t="s">
        <v>374</v>
      </c>
      <c r="D198" s="53"/>
      <c r="E198" s="39" t="str">
        <f>HYPERLINK("https://www.google.ru/search?q=1373362-012&amp;newwindow=1&amp;tbm=isch","Еще фото")</f>
        <v>Еще фото</v>
      </c>
      <c r="F198" s="13"/>
      <c r="G198" s="11" t="s">
        <v>28</v>
      </c>
      <c r="H198" s="11" t="s">
        <v>27</v>
      </c>
      <c r="I198" s="14" t="s">
        <v>28</v>
      </c>
      <c r="J198" s="14" t="s">
        <v>29</v>
      </c>
      <c r="K198" s="15" t="s">
        <v>30</v>
      </c>
      <c r="L198" s="56" t="s">
        <v>103</v>
      </c>
      <c r="M198" s="14" t="s">
        <v>90</v>
      </c>
      <c r="N198" s="14" t="s">
        <v>166</v>
      </c>
      <c r="O198" s="14"/>
      <c r="P198" s="15" t="s">
        <v>51</v>
      </c>
      <c r="Q198" s="16">
        <v>8599</v>
      </c>
      <c r="R198" s="17">
        <v>40</v>
      </c>
      <c r="S198" s="18">
        <v>5933.3099999999995</v>
      </c>
      <c r="T198" s="19" t="s">
        <v>36</v>
      </c>
      <c r="U198" s="20" t="s">
        <v>37</v>
      </c>
      <c r="V198" s="21" t="s">
        <v>38</v>
      </c>
      <c r="W198" s="22">
        <v>1</v>
      </c>
      <c r="X198" s="23"/>
    </row>
    <row r="199" spans="1:24" s="1" customFormat="1" ht="35.1" customHeight="1" x14ac:dyDescent="0.3">
      <c r="A199" s="24" t="s">
        <v>23</v>
      </c>
      <c r="B199" s="24" t="s">
        <v>101</v>
      </c>
      <c r="C199" s="12" t="s">
        <v>374</v>
      </c>
      <c r="D199" s="54"/>
      <c r="E199" s="39" t="str">
        <f>HYPERLINK("https://www.google.ru/search?q=1373362-012&amp;newwindow=1&amp;tbm=isch","Еще фото")</f>
        <v>Еще фото</v>
      </c>
      <c r="F199" s="13"/>
      <c r="G199" s="24" t="s">
        <v>28</v>
      </c>
      <c r="H199" s="24" t="s">
        <v>27</v>
      </c>
      <c r="I199" s="24" t="s">
        <v>28</v>
      </c>
      <c r="J199" s="14" t="s">
        <v>29</v>
      </c>
      <c r="K199" s="15" t="s">
        <v>30</v>
      </c>
      <c r="L199" s="57"/>
      <c r="M199" s="14" t="s">
        <v>90</v>
      </c>
      <c r="N199" s="14" t="s">
        <v>166</v>
      </c>
      <c r="O199" s="14"/>
      <c r="P199" s="15" t="s">
        <v>51</v>
      </c>
      <c r="Q199" s="16">
        <v>8599</v>
      </c>
      <c r="R199" s="17">
        <v>40</v>
      </c>
      <c r="S199" s="18">
        <v>5933.3099999999995</v>
      </c>
      <c r="T199" s="19" t="s">
        <v>36</v>
      </c>
      <c r="U199" s="20" t="s">
        <v>39</v>
      </c>
      <c r="V199" s="21" t="s">
        <v>40</v>
      </c>
      <c r="W199" s="22">
        <v>3</v>
      </c>
      <c r="X199" s="23"/>
    </row>
    <row r="200" spans="1:24" s="1" customFormat="1" ht="36.950000000000003" customHeight="1" x14ac:dyDescent="0.3">
      <c r="A200" s="24" t="s">
        <v>23</v>
      </c>
      <c r="B200" s="24" t="s">
        <v>101</v>
      </c>
      <c r="C200" s="12" t="s">
        <v>374</v>
      </c>
      <c r="D200" s="55"/>
      <c r="E200" s="39" t="str">
        <f>HYPERLINK("https://www.google.ru/search?q=1373362-012&amp;newwindow=1&amp;tbm=isch","Еще фото")</f>
        <v>Еще фото</v>
      </c>
      <c r="F200" s="13"/>
      <c r="G200" s="24" t="s">
        <v>28</v>
      </c>
      <c r="H200" s="24" t="s">
        <v>27</v>
      </c>
      <c r="I200" s="24" t="s">
        <v>28</v>
      </c>
      <c r="J200" s="14" t="s">
        <v>29</v>
      </c>
      <c r="K200" s="15" t="s">
        <v>30</v>
      </c>
      <c r="L200" s="58"/>
      <c r="M200" s="14" t="s">
        <v>90</v>
      </c>
      <c r="N200" s="14" t="s">
        <v>166</v>
      </c>
      <c r="O200" s="14"/>
      <c r="P200" s="15" t="s">
        <v>51</v>
      </c>
      <c r="Q200" s="16">
        <v>8599</v>
      </c>
      <c r="R200" s="17">
        <v>40</v>
      </c>
      <c r="S200" s="18">
        <v>5933.3099999999995</v>
      </c>
      <c r="T200" s="19" t="s">
        <v>36</v>
      </c>
      <c r="U200" s="20" t="s">
        <v>43</v>
      </c>
      <c r="V200" s="21" t="s">
        <v>44</v>
      </c>
      <c r="W200" s="22">
        <v>1</v>
      </c>
      <c r="X200" s="23"/>
    </row>
    <row r="201" spans="1:24" s="1" customFormat="1" ht="21" customHeight="1" x14ac:dyDescent="0.3">
      <c r="A201" s="11" t="s">
        <v>23</v>
      </c>
      <c r="B201" s="11" t="s">
        <v>101</v>
      </c>
      <c r="C201" s="26" t="s">
        <v>375</v>
      </c>
      <c r="D201" s="53"/>
      <c r="E201" s="39" t="str">
        <f>HYPERLINK("https://www.google.ru/search?q=1373362-025&amp;newwindow=1&amp;tbm=isch","Еще фото")</f>
        <v>Еще фото</v>
      </c>
      <c r="F201" s="13" t="s">
        <v>98</v>
      </c>
      <c r="G201" s="11" t="s">
        <v>28</v>
      </c>
      <c r="H201" s="11" t="s">
        <v>27</v>
      </c>
      <c r="I201" s="14" t="s">
        <v>28</v>
      </c>
      <c r="J201" s="14" t="s">
        <v>29</v>
      </c>
      <c r="K201" s="15" t="s">
        <v>30</v>
      </c>
      <c r="L201" s="56" t="s">
        <v>89</v>
      </c>
      <c r="M201" s="14"/>
      <c r="N201" s="14" t="s">
        <v>84</v>
      </c>
      <c r="O201" s="14"/>
      <c r="P201" s="15" t="s">
        <v>51</v>
      </c>
      <c r="Q201" s="16">
        <v>7899</v>
      </c>
      <c r="R201" s="17">
        <v>40</v>
      </c>
      <c r="S201" s="18">
        <v>5450.3099999999995</v>
      </c>
      <c r="T201" s="19" t="s">
        <v>36</v>
      </c>
      <c r="U201" s="20" t="s">
        <v>37</v>
      </c>
      <c r="V201" s="21" t="s">
        <v>38</v>
      </c>
      <c r="W201" s="22">
        <v>12</v>
      </c>
      <c r="X201" s="23"/>
    </row>
    <row r="202" spans="1:24" s="1" customFormat="1" ht="21" customHeight="1" x14ac:dyDescent="0.3">
      <c r="A202" s="24" t="s">
        <v>23</v>
      </c>
      <c r="B202" s="24" t="s">
        <v>101</v>
      </c>
      <c r="C202" s="27" t="s">
        <v>375</v>
      </c>
      <c r="D202" s="54"/>
      <c r="E202" s="39" t="str">
        <f>HYPERLINK("https://www.google.ru/search?q=1373362-025&amp;newwindow=1&amp;tbm=isch","Еще фото")</f>
        <v>Еще фото</v>
      </c>
      <c r="F202" s="13" t="s">
        <v>98</v>
      </c>
      <c r="G202" s="24" t="s">
        <v>28</v>
      </c>
      <c r="H202" s="24" t="s">
        <v>27</v>
      </c>
      <c r="I202" s="24" t="s">
        <v>28</v>
      </c>
      <c r="J202" s="14" t="s">
        <v>29</v>
      </c>
      <c r="K202" s="15" t="s">
        <v>30</v>
      </c>
      <c r="L202" s="57"/>
      <c r="M202" s="14"/>
      <c r="N202" s="14" t="s">
        <v>84</v>
      </c>
      <c r="O202" s="14"/>
      <c r="P202" s="15" t="s">
        <v>51</v>
      </c>
      <c r="Q202" s="16">
        <v>7899</v>
      </c>
      <c r="R202" s="17">
        <v>40</v>
      </c>
      <c r="S202" s="18">
        <v>5450.3099999999995</v>
      </c>
      <c r="T202" s="19" t="s">
        <v>36</v>
      </c>
      <c r="U202" s="20" t="s">
        <v>39</v>
      </c>
      <c r="V202" s="21" t="s">
        <v>40</v>
      </c>
      <c r="W202" s="22">
        <v>23</v>
      </c>
      <c r="X202" s="23"/>
    </row>
    <row r="203" spans="1:24" s="1" customFormat="1" ht="21" customHeight="1" x14ac:dyDescent="0.3">
      <c r="A203" s="24" t="s">
        <v>23</v>
      </c>
      <c r="B203" s="24" t="s">
        <v>101</v>
      </c>
      <c r="C203" s="27" t="s">
        <v>375</v>
      </c>
      <c r="D203" s="54"/>
      <c r="E203" s="39" t="str">
        <f>HYPERLINK("https://www.google.ru/search?q=1373362-025&amp;newwindow=1&amp;tbm=isch","Еще фото")</f>
        <v>Еще фото</v>
      </c>
      <c r="F203" s="13" t="s">
        <v>98</v>
      </c>
      <c r="G203" s="24" t="s">
        <v>28</v>
      </c>
      <c r="H203" s="24" t="s">
        <v>27</v>
      </c>
      <c r="I203" s="24" t="s">
        <v>28</v>
      </c>
      <c r="J203" s="14" t="s">
        <v>29</v>
      </c>
      <c r="K203" s="15" t="s">
        <v>30</v>
      </c>
      <c r="L203" s="57"/>
      <c r="M203" s="14"/>
      <c r="N203" s="14" t="s">
        <v>84</v>
      </c>
      <c r="O203" s="14"/>
      <c r="P203" s="15" t="s">
        <v>51</v>
      </c>
      <c r="Q203" s="16">
        <v>7899</v>
      </c>
      <c r="R203" s="17">
        <v>40</v>
      </c>
      <c r="S203" s="18">
        <v>5450.3099999999995</v>
      </c>
      <c r="T203" s="19" t="s">
        <v>36</v>
      </c>
      <c r="U203" s="20" t="s">
        <v>41</v>
      </c>
      <c r="V203" s="21" t="s">
        <v>42</v>
      </c>
      <c r="W203" s="22">
        <v>2</v>
      </c>
      <c r="X203" s="23"/>
    </row>
    <row r="204" spans="1:24" s="1" customFormat="1" ht="21" customHeight="1" x14ac:dyDescent="0.3">
      <c r="A204" s="24" t="s">
        <v>23</v>
      </c>
      <c r="B204" s="24" t="s">
        <v>101</v>
      </c>
      <c r="C204" s="27" t="s">
        <v>375</v>
      </c>
      <c r="D204" s="54"/>
      <c r="E204" s="39" t="str">
        <f>HYPERLINK("https://www.google.ru/search?q=1373362-025&amp;newwindow=1&amp;tbm=isch","Еще фото")</f>
        <v>Еще фото</v>
      </c>
      <c r="F204" s="13" t="s">
        <v>98</v>
      </c>
      <c r="G204" s="24" t="s">
        <v>28</v>
      </c>
      <c r="H204" s="24" t="s">
        <v>27</v>
      </c>
      <c r="I204" s="24" t="s">
        <v>28</v>
      </c>
      <c r="J204" s="14" t="s">
        <v>29</v>
      </c>
      <c r="K204" s="15" t="s">
        <v>30</v>
      </c>
      <c r="L204" s="57"/>
      <c r="M204" s="14"/>
      <c r="N204" s="14" t="s">
        <v>84</v>
      </c>
      <c r="O204" s="14"/>
      <c r="P204" s="15" t="s">
        <v>51</v>
      </c>
      <c r="Q204" s="16">
        <v>7899</v>
      </c>
      <c r="R204" s="17">
        <v>40</v>
      </c>
      <c r="S204" s="18">
        <v>5450.3099999999995</v>
      </c>
      <c r="T204" s="19" t="s">
        <v>36</v>
      </c>
      <c r="U204" s="20" t="s">
        <v>43</v>
      </c>
      <c r="V204" s="21" t="s">
        <v>44</v>
      </c>
      <c r="W204" s="22">
        <v>5</v>
      </c>
      <c r="X204" s="23"/>
    </row>
    <row r="205" spans="1:24" s="1" customFormat="1" ht="32.1" customHeight="1" x14ac:dyDescent="0.3">
      <c r="A205" s="24" t="s">
        <v>23</v>
      </c>
      <c r="B205" s="24" t="s">
        <v>101</v>
      </c>
      <c r="C205" s="27" t="s">
        <v>375</v>
      </c>
      <c r="D205" s="55"/>
      <c r="E205" s="39" t="str">
        <f>HYPERLINK("https://www.google.ru/search?q=1373362-025&amp;newwindow=1&amp;tbm=isch","Еще фото")</f>
        <v>Еще фото</v>
      </c>
      <c r="F205" s="13" t="s">
        <v>98</v>
      </c>
      <c r="G205" s="24" t="s">
        <v>28</v>
      </c>
      <c r="H205" s="24" t="s">
        <v>27</v>
      </c>
      <c r="I205" s="24" t="s">
        <v>28</v>
      </c>
      <c r="J205" s="14" t="s">
        <v>29</v>
      </c>
      <c r="K205" s="15" t="s">
        <v>30</v>
      </c>
      <c r="L205" s="58"/>
      <c r="M205" s="14"/>
      <c r="N205" s="14" t="s">
        <v>84</v>
      </c>
      <c r="O205" s="14"/>
      <c r="P205" s="15" t="s">
        <v>51</v>
      </c>
      <c r="Q205" s="16">
        <v>7899</v>
      </c>
      <c r="R205" s="17">
        <v>40</v>
      </c>
      <c r="S205" s="18">
        <v>5450.3099999999995</v>
      </c>
      <c r="T205" s="19" t="s">
        <v>36</v>
      </c>
      <c r="U205" s="20" t="s">
        <v>104</v>
      </c>
      <c r="V205" s="21" t="s">
        <v>105</v>
      </c>
      <c r="W205" s="22">
        <v>2</v>
      </c>
      <c r="X205" s="23"/>
    </row>
    <row r="206" spans="1:24" s="1" customFormat="1" ht="108" customHeight="1" x14ac:dyDescent="0.3">
      <c r="A206" s="11" t="s">
        <v>23</v>
      </c>
      <c r="B206" s="11" t="s">
        <v>101</v>
      </c>
      <c r="C206" s="12" t="s">
        <v>376</v>
      </c>
      <c r="D206" s="25"/>
      <c r="E206" s="39" t="str">
        <f>HYPERLINK("https://www.google.ru/search?q=1373362-400&amp;newwindow=1&amp;tbm=isch","Еще фото")</f>
        <v>Еще фото</v>
      </c>
      <c r="F206" s="13"/>
      <c r="G206" s="11" t="s">
        <v>28</v>
      </c>
      <c r="H206" s="11" t="s">
        <v>27</v>
      </c>
      <c r="I206" s="14" t="s">
        <v>28</v>
      </c>
      <c r="J206" s="14" t="s">
        <v>29</v>
      </c>
      <c r="K206" s="15" t="s">
        <v>30</v>
      </c>
      <c r="L206" s="14" t="s">
        <v>103</v>
      </c>
      <c r="M206" s="14" t="s">
        <v>90</v>
      </c>
      <c r="N206" s="14" t="s">
        <v>377</v>
      </c>
      <c r="O206" s="14"/>
      <c r="P206" s="15" t="s">
        <v>51</v>
      </c>
      <c r="Q206" s="16">
        <v>8599</v>
      </c>
      <c r="R206" s="17">
        <v>40</v>
      </c>
      <c r="S206" s="18">
        <v>5933.3099999999995</v>
      </c>
      <c r="T206" s="19" t="s">
        <v>36</v>
      </c>
      <c r="U206" s="20" t="s">
        <v>69</v>
      </c>
      <c r="V206" s="21" t="s">
        <v>75</v>
      </c>
      <c r="W206" s="22">
        <v>1</v>
      </c>
      <c r="X206" s="23"/>
    </row>
    <row r="207" spans="1:24" s="1" customFormat="1" ht="35.1" customHeight="1" x14ac:dyDescent="0.3">
      <c r="A207" s="11" t="s">
        <v>23</v>
      </c>
      <c r="B207" s="11" t="s">
        <v>378</v>
      </c>
      <c r="C207" s="12" t="s">
        <v>379</v>
      </c>
      <c r="D207" s="53"/>
      <c r="E207" s="39" t="str">
        <f>HYPERLINK("https://www.google.ru/search?q=1373882-012&amp;newwindow=1&amp;tbm=isch","Еще фото")</f>
        <v>Еще фото</v>
      </c>
      <c r="F207" s="13" t="s">
        <v>310</v>
      </c>
      <c r="G207" s="11" t="s">
        <v>28</v>
      </c>
      <c r="H207" s="11" t="s">
        <v>27</v>
      </c>
      <c r="I207" s="14" t="s">
        <v>28</v>
      </c>
      <c r="J207" s="14" t="s">
        <v>29</v>
      </c>
      <c r="K207" s="15" t="s">
        <v>30</v>
      </c>
      <c r="L207" s="56" t="s">
        <v>380</v>
      </c>
      <c r="M207" s="14"/>
      <c r="N207" s="14" t="s">
        <v>84</v>
      </c>
      <c r="O207" s="14"/>
      <c r="P207" s="15" t="s">
        <v>113</v>
      </c>
      <c r="Q207" s="16">
        <v>6299</v>
      </c>
      <c r="R207" s="17">
        <v>40</v>
      </c>
      <c r="S207" s="18">
        <v>4346.3099999999995</v>
      </c>
      <c r="T207" s="19" t="s">
        <v>36</v>
      </c>
      <c r="U207" s="20" t="s">
        <v>37</v>
      </c>
      <c r="V207" s="21" t="s">
        <v>38</v>
      </c>
      <c r="W207" s="22">
        <v>3</v>
      </c>
      <c r="X207" s="23"/>
    </row>
    <row r="208" spans="1:24" s="1" customFormat="1" ht="35.1" customHeight="1" x14ac:dyDescent="0.3">
      <c r="A208" s="24" t="s">
        <v>23</v>
      </c>
      <c r="B208" s="24" t="s">
        <v>378</v>
      </c>
      <c r="C208" s="12" t="s">
        <v>379</v>
      </c>
      <c r="D208" s="54"/>
      <c r="E208" s="39" t="str">
        <f>HYPERLINK("https://www.google.ru/search?q=1373882-012&amp;newwindow=1&amp;tbm=isch","Еще фото")</f>
        <v>Еще фото</v>
      </c>
      <c r="F208" s="13" t="s">
        <v>310</v>
      </c>
      <c r="G208" s="24" t="s">
        <v>28</v>
      </c>
      <c r="H208" s="24" t="s">
        <v>27</v>
      </c>
      <c r="I208" s="24" t="s">
        <v>28</v>
      </c>
      <c r="J208" s="14" t="s">
        <v>29</v>
      </c>
      <c r="K208" s="15" t="s">
        <v>30</v>
      </c>
      <c r="L208" s="57"/>
      <c r="M208" s="14"/>
      <c r="N208" s="14" t="s">
        <v>84</v>
      </c>
      <c r="O208" s="14"/>
      <c r="P208" s="15" t="s">
        <v>113</v>
      </c>
      <c r="Q208" s="16">
        <v>6299</v>
      </c>
      <c r="R208" s="17">
        <v>40</v>
      </c>
      <c r="S208" s="18">
        <v>4346.3099999999995</v>
      </c>
      <c r="T208" s="19" t="s">
        <v>36</v>
      </c>
      <c r="U208" s="20" t="s">
        <v>104</v>
      </c>
      <c r="V208" s="21" t="s">
        <v>105</v>
      </c>
      <c r="W208" s="22">
        <v>1</v>
      </c>
      <c r="X208" s="23"/>
    </row>
    <row r="209" spans="1:24" s="1" customFormat="1" ht="36.950000000000003" customHeight="1" x14ac:dyDescent="0.3">
      <c r="A209" s="24" t="s">
        <v>23</v>
      </c>
      <c r="B209" s="24" t="s">
        <v>378</v>
      </c>
      <c r="C209" s="12" t="s">
        <v>379</v>
      </c>
      <c r="D209" s="55"/>
      <c r="E209" s="39" t="str">
        <f>HYPERLINK("https://www.google.ru/search?q=1373882-012&amp;newwindow=1&amp;tbm=isch","Еще фото")</f>
        <v>Еще фото</v>
      </c>
      <c r="F209" s="13" t="s">
        <v>310</v>
      </c>
      <c r="G209" s="24" t="s">
        <v>28</v>
      </c>
      <c r="H209" s="24" t="s">
        <v>27</v>
      </c>
      <c r="I209" s="24" t="s">
        <v>28</v>
      </c>
      <c r="J209" s="14" t="s">
        <v>29</v>
      </c>
      <c r="K209" s="15" t="s">
        <v>30</v>
      </c>
      <c r="L209" s="58"/>
      <c r="M209" s="14"/>
      <c r="N209" s="14" t="s">
        <v>84</v>
      </c>
      <c r="O209" s="14"/>
      <c r="P209" s="15" t="s">
        <v>113</v>
      </c>
      <c r="Q209" s="16">
        <v>6299</v>
      </c>
      <c r="R209" s="17">
        <v>40</v>
      </c>
      <c r="S209" s="18">
        <v>4346.3099999999995</v>
      </c>
      <c r="T209" s="19" t="s">
        <v>36</v>
      </c>
      <c r="U209" s="20" t="s">
        <v>381</v>
      </c>
      <c r="V209" s="21" t="s">
        <v>382</v>
      </c>
      <c r="W209" s="22">
        <v>1</v>
      </c>
      <c r="X209" s="23"/>
    </row>
    <row r="210" spans="1:24" s="1" customFormat="1" ht="51.95" customHeight="1" x14ac:dyDescent="0.3">
      <c r="A210" s="11" t="s">
        <v>23</v>
      </c>
      <c r="B210" s="11" t="s">
        <v>378</v>
      </c>
      <c r="C210" s="12" t="s">
        <v>383</v>
      </c>
      <c r="D210" s="59"/>
      <c r="E210" s="39" t="str">
        <f>HYPERLINK("https://www.google.ru/search?q=1373882-203&amp;newwindow=1&amp;tbm=isch","Еще фото")</f>
        <v>Еще фото</v>
      </c>
      <c r="F210" s="13"/>
      <c r="G210" s="11" t="s">
        <v>28</v>
      </c>
      <c r="H210" s="11" t="s">
        <v>27</v>
      </c>
      <c r="I210" s="14" t="s">
        <v>28</v>
      </c>
      <c r="J210" s="14" t="s">
        <v>29</v>
      </c>
      <c r="K210" s="15" t="s">
        <v>30</v>
      </c>
      <c r="L210" s="56" t="s">
        <v>384</v>
      </c>
      <c r="M210" s="14"/>
      <c r="N210" s="14" t="s">
        <v>215</v>
      </c>
      <c r="O210" s="14"/>
      <c r="P210" s="15" t="s">
        <v>385</v>
      </c>
      <c r="Q210" s="16">
        <v>7299</v>
      </c>
      <c r="R210" s="17">
        <v>40</v>
      </c>
      <c r="S210" s="18">
        <v>5036.3099999999995</v>
      </c>
      <c r="T210" s="19" t="s">
        <v>36</v>
      </c>
      <c r="U210" s="20" t="s">
        <v>37</v>
      </c>
      <c r="V210" s="21" t="s">
        <v>38</v>
      </c>
      <c r="W210" s="22">
        <v>4</v>
      </c>
      <c r="X210" s="23"/>
    </row>
    <row r="211" spans="1:24" s="1" customFormat="1" ht="60.95" customHeight="1" x14ac:dyDescent="0.3">
      <c r="A211" s="24" t="s">
        <v>23</v>
      </c>
      <c r="B211" s="24" t="s">
        <v>378</v>
      </c>
      <c r="C211" s="12" t="s">
        <v>383</v>
      </c>
      <c r="D211" s="60"/>
      <c r="E211" s="39" t="str">
        <f>HYPERLINK("https://www.google.ru/search?q=1373882-203&amp;newwindow=1&amp;tbm=isch","Еще фото")</f>
        <v>Еще фото</v>
      </c>
      <c r="F211" s="13"/>
      <c r="G211" s="24" t="s">
        <v>28</v>
      </c>
      <c r="H211" s="24" t="s">
        <v>27</v>
      </c>
      <c r="I211" s="24" t="s">
        <v>28</v>
      </c>
      <c r="J211" s="14" t="s">
        <v>29</v>
      </c>
      <c r="K211" s="15" t="s">
        <v>30</v>
      </c>
      <c r="L211" s="58"/>
      <c r="M211" s="14"/>
      <c r="N211" s="14" t="s">
        <v>215</v>
      </c>
      <c r="O211" s="14"/>
      <c r="P211" s="15" t="s">
        <v>385</v>
      </c>
      <c r="Q211" s="16">
        <v>7299</v>
      </c>
      <c r="R211" s="17">
        <v>40</v>
      </c>
      <c r="S211" s="18">
        <v>5036.3099999999995</v>
      </c>
      <c r="T211" s="19" t="s">
        <v>36</v>
      </c>
      <c r="U211" s="20" t="s">
        <v>41</v>
      </c>
      <c r="V211" s="21" t="s">
        <v>42</v>
      </c>
      <c r="W211" s="22">
        <v>1</v>
      </c>
      <c r="X211" s="23"/>
    </row>
    <row r="212" spans="1:24" s="1" customFormat="1" ht="21" customHeight="1" x14ac:dyDescent="0.3">
      <c r="A212" s="11" t="s">
        <v>23</v>
      </c>
      <c r="B212" s="11" t="s">
        <v>378</v>
      </c>
      <c r="C212" s="26" t="s">
        <v>386</v>
      </c>
      <c r="D212" s="53"/>
      <c r="E212" s="39" t="str">
        <f>HYPERLINK("https://www.google.ru/search?q=1373882-391&amp;newwindow=1&amp;tbm=isch","Еще фото")</f>
        <v>Еще фото</v>
      </c>
      <c r="F212" s="13" t="s">
        <v>98</v>
      </c>
      <c r="G212" s="11" t="s">
        <v>28</v>
      </c>
      <c r="H212" s="11" t="s">
        <v>27</v>
      </c>
      <c r="I212" s="14" t="s">
        <v>28</v>
      </c>
      <c r="J212" s="14" t="s">
        <v>29</v>
      </c>
      <c r="K212" s="15" t="s">
        <v>30</v>
      </c>
      <c r="L212" s="56" t="s">
        <v>384</v>
      </c>
      <c r="M212" s="14"/>
      <c r="N212" s="14" t="s">
        <v>125</v>
      </c>
      <c r="O212" s="14"/>
      <c r="P212" s="15" t="s">
        <v>385</v>
      </c>
      <c r="Q212" s="16">
        <v>7299</v>
      </c>
      <c r="R212" s="17">
        <v>40</v>
      </c>
      <c r="S212" s="18">
        <v>5036.3099999999995</v>
      </c>
      <c r="T212" s="19" t="s">
        <v>36</v>
      </c>
      <c r="U212" s="20" t="s">
        <v>37</v>
      </c>
      <c r="V212" s="21" t="s">
        <v>38</v>
      </c>
      <c r="W212" s="22">
        <v>4</v>
      </c>
      <c r="X212" s="23"/>
    </row>
    <row r="213" spans="1:24" s="1" customFormat="1" ht="21" customHeight="1" x14ac:dyDescent="0.3">
      <c r="A213" s="24" t="s">
        <v>23</v>
      </c>
      <c r="B213" s="24" t="s">
        <v>378</v>
      </c>
      <c r="C213" s="27" t="s">
        <v>386</v>
      </c>
      <c r="D213" s="54"/>
      <c r="E213" s="39" t="str">
        <f>HYPERLINK("https://www.google.ru/search?q=1373882-391&amp;newwindow=1&amp;tbm=isch","Еще фото")</f>
        <v>Еще фото</v>
      </c>
      <c r="F213" s="13" t="s">
        <v>98</v>
      </c>
      <c r="G213" s="24" t="s">
        <v>28</v>
      </c>
      <c r="H213" s="24" t="s">
        <v>27</v>
      </c>
      <c r="I213" s="24" t="s">
        <v>28</v>
      </c>
      <c r="J213" s="14" t="s">
        <v>29</v>
      </c>
      <c r="K213" s="15" t="s">
        <v>30</v>
      </c>
      <c r="L213" s="57"/>
      <c r="M213" s="14"/>
      <c r="N213" s="14" t="s">
        <v>125</v>
      </c>
      <c r="O213" s="14"/>
      <c r="P213" s="15" t="s">
        <v>385</v>
      </c>
      <c r="Q213" s="16">
        <v>7299</v>
      </c>
      <c r="R213" s="17">
        <v>40</v>
      </c>
      <c r="S213" s="18">
        <v>5036.3099999999995</v>
      </c>
      <c r="T213" s="19" t="s">
        <v>36</v>
      </c>
      <c r="U213" s="20" t="s">
        <v>39</v>
      </c>
      <c r="V213" s="21" t="s">
        <v>40</v>
      </c>
      <c r="W213" s="22">
        <v>10</v>
      </c>
      <c r="X213" s="23"/>
    </row>
    <row r="214" spans="1:24" s="1" customFormat="1" ht="21" customHeight="1" x14ac:dyDescent="0.3">
      <c r="A214" s="24" t="s">
        <v>23</v>
      </c>
      <c r="B214" s="24" t="s">
        <v>378</v>
      </c>
      <c r="C214" s="27" t="s">
        <v>386</v>
      </c>
      <c r="D214" s="54"/>
      <c r="E214" s="39" t="str">
        <f>HYPERLINK("https://www.google.ru/search?q=1373882-391&amp;newwindow=1&amp;tbm=isch","Еще фото")</f>
        <v>Еще фото</v>
      </c>
      <c r="F214" s="13" t="s">
        <v>98</v>
      </c>
      <c r="G214" s="24" t="s">
        <v>28</v>
      </c>
      <c r="H214" s="24" t="s">
        <v>27</v>
      </c>
      <c r="I214" s="24" t="s">
        <v>28</v>
      </c>
      <c r="J214" s="14" t="s">
        <v>29</v>
      </c>
      <c r="K214" s="15" t="s">
        <v>30</v>
      </c>
      <c r="L214" s="57"/>
      <c r="M214" s="14"/>
      <c r="N214" s="14" t="s">
        <v>125</v>
      </c>
      <c r="O214" s="14"/>
      <c r="P214" s="15" t="s">
        <v>385</v>
      </c>
      <c r="Q214" s="16">
        <v>7299</v>
      </c>
      <c r="R214" s="17">
        <v>40</v>
      </c>
      <c r="S214" s="18">
        <v>5036.3099999999995</v>
      </c>
      <c r="T214" s="19" t="s">
        <v>36</v>
      </c>
      <c r="U214" s="20" t="s">
        <v>41</v>
      </c>
      <c r="V214" s="21" t="s">
        <v>42</v>
      </c>
      <c r="W214" s="22">
        <v>10</v>
      </c>
      <c r="X214" s="23"/>
    </row>
    <row r="215" spans="1:24" s="1" customFormat="1" ht="21" customHeight="1" x14ac:dyDescent="0.3">
      <c r="A215" s="24" t="s">
        <v>23</v>
      </c>
      <c r="B215" s="24" t="s">
        <v>378</v>
      </c>
      <c r="C215" s="27" t="s">
        <v>386</v>
      </c>
      <c r="D215" s="54"/>
      <c r="E215" s="39" t="str">
        <f>HYPERLINK("https://www.google.ru/search?q=1373882-391&amp;newwindow=1&amp;tbm=isch","Еще фото")</f>
        <v>Еще фото</v>
      </c>
      <c r="F215" s="13" t="s">
        <v>98</v>
      </c>
      <c r="G215" s="24" t="s">
        <v>28</v>
      </c>
      <c r="H215" s="24" t="s">
        <v>27</v>
      </c>
      <c r="I215" s="24" t="s">
        <v>28</v>
      </c>
      <c r="J215" s="14" t="s">
        <v>29</v>
      </c>
      <c r="K215" s="15" t="s">
        <v>30</v>
      </c>
      <c r="L215" s="57"/>
      <c r="M215" s="14"/>
      <c r="N215" s="14" t="s">
        <v>125</v>
      </c>
      <c r="O215" s="14"/>
      <c r="P215" s="15" t="s">
        <v>385</v>
      </c>
      <c r="Q215" s="16">
        <v>7299</v>
      </c>
      <c r="R215" s="17">
        <v>40</v>
      </c>
      <c r="S215" s="18">
        <v>5036.3099999999995</v>
      </c>
      <c r="T215" s="19" t="s">
        <v>36</v>
      </c>
      <c r="U215" s="20" t="s">
        <v>43</v>
      </c>
      <c r="V215" s="21" t="s">
        <v>44</v>
      </c>
      <c r="W215" s="22">
        <v>3</v>
      </c>
      <c r="X215" s="23"/>
    </row>
    <row r="216" spans="1:24" s="1" customFormat="1" ht="32.1" customHeight="1" x14ac:dyDescent="0.3">
      <c r="A216" s="24" t="s">
        <v>23</v>
      </c>
      <c r="B216" s="24" t="s">
        <v>378</v>
      </c>
      <c r="C216" s="27" t="s">
        <v>386</v>
      </c>
      <c r="D216" s="55"/>
      <c r="E216" s="39" t="str">
        <f>HYPERLINK("https://www.google.ru/search?q=1373882-391&amp;newwindow=1&amp;tbm=isch","Еще фото")</f>
        <v>Еще фото</v>
      </c>
      <c r="F216" s="13" t="s">
        <v>98</v>
      </c>
      <c r="G216" s="24" t="s">
        <v>28</v>
      </c>
      <c r="H216" s="24" t="s">
        <v>27</v>
      </c>
      <c r="I216" s="24" t="s">
        <v>28</v>
      </c>
      <c r="J216" s="14" t="s">
        <v>29</v>
      </c>
      <c r="K216" s="15" t="s">
        <v>30</v>
      </c>
      <c r="L216" s="58"/>
      <c r="M216" s="14"/>
      <c r="N216" s="14" t="s">
        <v>125</v>
      </c>
      <c r="O216" s="14"/>
      <c r="P216" s="15" t="s">
        <v>385</v>
      </c>
      <c r="Q216" s="16">
        <v>7299</v>
      </c>
      <c r="R216" s="17">
        <v>40</v>
      </c>
      <c r="S216" s="18">
        <v>5036.3099999999995</v>
      </c>
      <c r="T216" s="19" t="s">
        <v>36</v>
      </c>
      <c r="U216" s="20" t="s">
        <v>104</v>
      </c>
      <c r="V216" s="21" t="s">
        <v>105</v>
      </c>
      <c r="W216" s="22">
        <v>6</v>
      </c>
      <c r="X216" s="23"/>
    </row>
    <row r="217" spans="1:24" s="1" customFormat="1" ht="21" customHeight="1" x14ac:dyDescent="0.3">
      <c r="A217" s="11" t="s">
        <v>23</v>
      </c>
      <c r="B217" s="11" t="s">
        <v>378</v>
      </c>
      <c r="C217" s="26" t="s">
        <v>387</v>
      </c>
      <c r="D217" s="53"/>
      <c r="E217" s="39" t="str">
        <f>HYPERLINK("https://www.google.ru/search?q=1373882-410&amp;newwindow=1&amp;tbm=isch","Еще фото")</f>
        <v>Еще фото</v>
      </c>
      <c r="F217" s="13" t="s">
        <v>98</v>
      </c>
      <c r="G217" s="11" t="s">
        <v>28</v>
      </c>
      <c r="H217" s="11" t="s">
        <v>27</v>
      </c>
      <c r="I217" s="14" t="s">
        <v>28</v>
      </c>
      <c r="J217" s="14" t="s">
        <v>29</v>
      </c>
      <c r="K217" s="15" t="s">
        <v>30</v>
      </c>
      <c r="L217" s="56" t="s">
        <v>380</v>
      </c>
      <c r="M217" s="14"/>
      <c r="N217" s="14" t="s">
        <v>91</v>
      </c>
      <c r="O217" s="14"/>
      <c r="P217" s="15" t="s">
        <v>385</v>
      </c>
      <c r="Q217" s="16">
        <v>6299</v>
      </c>
      <c r="R217" s="17">
        <v>40</v>
      </c>
      <c r="S217" s="18">
        <v>4346.3099999999995</v>
      </c>
      <c r="T217" s="19" t="s">
        <v>36</v>
      </c>
      <c r="U217" s="20" t="s">
        <v>37</v>
      </c>
      <c r="V217" s="21" t="s">
        <v>38</v>
      </c>
      <c r="W217" s="22">
        <v>4</v>
      </c>
      <c r="X217" s="23"/>
    </row>
    <row r="218" spans="1:24" s="1" customFormat="1" ht="21" customHeight="1" x14ac:dyDescent="0.3">
      <c r="A218" s="24" t="s">
        <v>23</v>
      </c>
      <c r="B218" s="24" t="s">
        <v>378</v>
      </c>
      <c r="C218" s="27" t="s">
        <v>387</v>
      </c>
      <c r="D218" s="54"/>
      <c r="E218" s="39" t="str">
        <f>HYPERLINK("https://www.google.ru/search?q=1373882-410&amp;newwindow=1&amp;tbm=isch","Еще фото")</f>
        <v>Еще фото</v>
      </c>
      <c r="F218" s="13" t="s">
        <v>98</v>
      </c>
      <c r="G218" s="24" t="s">
        <v>28</v>
      </c>
      <c r="H218" s="24" t="s">
        <v>27</v>
      </c>
      <c r="I218" s="24" t="s">
        <v>28</v>
      </c>
      <c r="J218" s="14" t="s">
        <v>29</v>
      </c>
      <c r="K218" s="15" t="s">
        <v>30</v>
      </c>
      <c r="L218" s="57"/>
      <c r="M218" s="14"/>
      <c r="N218" s="14" t="s">
        <v>91</v>
      </c>
      <c r="O218" s="14"/>
      <c r="P218" s="15" t="s">
        <v>385</v>
      </c>
      <c r="Q218" s="16">
        <v>6299</v>
      </c>
      <c r="R218" s="17">
        <v>40</v>
      </c>
      <c r="S218" s="18">
        <v>4346.3099999999995</v>
      </c>
      <c r="T218" s="19" t="s">
        <v>36</v>
      </c>
      <c r="U218" s="20" t="s">
        <v>39</v>
      </c>
      <c r="V218" s="21" t="s">
        <v>40</v>
      </c>
      <c r="W218" s="22">
        <v>7</v>
      </c>
      <c r="X218" s="23"/>
    </row>
    <row r="219" spans="1:24" s="1" customFormat="1" ht="21" customHeight="1" x14ac:dyDescent="0.3">
      <c r="A219" s="24" t="s">
        <v>23</v>
      </c>
      <c r="B219" s="24" t="s">
        <v>378</v>
      </c>
      <c r="C219" s="27" t="s">
        <v>387</v>
      </c>
      <c r="D219" s="54"/>
      <c r="E219" s="39" t="str">
        <f>HYPERLINK("https://www.google.ru/search?q=1373882-410&amp;newwindow=1&amp;tbm=isch","Еще фото")</f>
        <v>Еще фото</v>
      </c>
      <c r="F219" s="13" t="s">
        <v>98</v>
      </c>
      <c r="G219" s="24" t="s">
        <v>28</v>
      </c>
      <c r="H219" s="24" t="s">
        <v>27</v>
      </c>
      <c r="I219" s="24" t="s">
        <v>28</v>
      </c>
      <c r="J219" s="14" t="s">
        <v>29</v>
      </c>
      <c r="K219" s="15" t="s">
        <v>30</v>
      </c>
      <c r="L219" s="57"/>
      <c r="M219" s="14"/>
      <c r="N219" s="14" t="s">
        <v>91</v>
      </c>
      <c r="O219" s="14"/>
      <c r="P219" s="15" t="s">
        <v>385</v>
      </c>
      <c r="Q219" s="16">
        <v>6299</v>
      </c>
      <c r="R219" s="17">
        <v>40</v>
      </c>
      <c r="S219" s="18">
        <v>4346.3099999999995</v>
      </c>
      <c r="T219" s="19" t="s">
        <v>36</v>
      </c>
      <c r="U219" s="20" t="s">
        <v>41</v>
      </c>
      <c r="V219" s="21" t="s">
        <v>42</v>
      </c>
      <c r="W219" s="22">
        <v>6</v>
      </c>
      <c r="X219" s="23"/>
    </row>
    <row r="220" spans="1:24" s="1" customFormat="1" ht="21" customHeight="1" x14ac:dyDescent="0.3">
      <c r="A220" s="24" t="s">
        <v>23</v>
      </c>
      <c r="B220" s="24" t="s">
        <v>378</v>
      </c>
      <c r="C220" s="27" t="s">
        <v>387</v>
      </c>
      <c r="D220" s="54"/>
      <c r="E220" s="39" t="str">
        <f>HYPERLINK("https://www.google.ru/search?q=1373882-410&amp;newwindow=1&amp;tbm=isch","Еще фото")</f>
        <v>Еще фото</v>
      </c>
      <c r="F220" s="13" t="s">
        <v>98</v>
      </c>
      <c r="G220" s="24" t="s">
        <v>28</v>
      </c>
      <c r="H220" s="24" t="s">
        <v>27</v>
      </c>
      <c r="I220" s="24" t="s">
        <v>28</v>
      </c>
      <c r="J220" s="14" t="s">
        <v>29</v>
      </c>
      <c r="K220" s="15" t="s">
        <v>30</v>
      </c>
      <c r="L220" s="57"/>
      <c r="M220" s="14"/>
      <c r="N220" s="14" t="s">
        <v>91</v>
      </c>
      <c r="O220" s="14"/>
      <c r="P220" s="15" t="s">
        <v>385</v>
      </c>
      <c r="Q220" s="16">
        <v>6299</v>
      </c>
      <c r="R220" s="17">
        <v>40</v>
      </c>
      <c r="S220" s="18">
        <v>4346.3099999999995</v>
      </c>
      <c r="T220" s="19" t="s">
        <v>36</v>
      </c>
      <c r="U220" s="20" t="s">
        <v>43</v>
      </c>
      <c r="V220" s="21" t="s">
        <v>44</v>
      </c>
      <c r="W220" s="22">
        <v>2</v>
      </c>
      <c r="X220" s="23"/>
    </row>
    <row r="221" spans="1:24" s="1" customFormat="1" ht="32.1" customHeight="1" x14ac:dyDescent="0.3">
      <c r="A221" s="24" t="s">
        <v>23</v>
      </c>
      <c r="B221" s="24" t="s">
        <v>378</v>
      </c>
      <c r="C221" s="27" t="s">
        <v>387</v>
      </c>
      <c r="D221" s="55"/>
      <c r="E221" s="39" t="str">
        <f>HYPERLINK("https://www.google.ru/search?q=1373882-410&amp;newwindow=1&amp;tbm=isch","Еще фото")</f>
        <v>Еще фото</v>
      </c>
      <c r="F221" s="13" t="s">
        <v>98</v>
      </c>
      <c r="G221" s="24" t="s">
        <v>28</v>
      </c>
      <c r="H221" s="24" t="s">
        <v>27</v>
      </c>
      <c r="I221" s="24" t="s">
        <v>28</v>
      </c>
      <c r="J221" s="14" t="s">
        <v>29</v>
      </c>
      <c r="K221" s="15" t="s">
        <v>30</v>
      </c>
      <c r="L221" s="58"/>
      <c r="M221" s="14"/>
      <c r="N221" s="14" t="s">
        <v>91</v>
      </c>
      <c r="O221" s="14"/>
      <c r="P221" s="15" t="s">
        <v>385</v>
      </c>
      <c r="Q221" s="16">
        <v>6299</v>
      </c>
      <c r="R221" s="17">
        <v>40</v>
      </c>
      <c r="S221" s="18">
        <v>4346.3099999999995</v>
      </c>
      <c r="T221" s="19" t="s">
        <v>36</v>
      </c>
      <c r="U221" s="20" t="s">
        <v>104</v>
      </c>
      <c r="V221" s="21" t="s">
        <v>105</v>
      </c>
      <c r="W221" s="22">
        <v>4</v>
      </c>
      <c r="X221" s="23"/>
    </row>
    <row r="222" spans="1:24" s="1" customFormat="1" ht="51.95" customHeight="1" x14ac:dyDescent="0.3">
      <c r="A222" s="11" t="s">
        <v>23</v>
      </c>
      <c r="B222" s="11" t="s">
        <v>388</v>
      </c>
      <c r="C222" s="12" t="s">
        <v>389</v>
      </c>
      <c r="D222" s="59"/>
      <c r="E222" s="39" t="str">
        <f>HYPERLINK("https://www.google.ru/search?q=1375077-002&amp;newwindow=1&amp;tbm=isch","Еще фото")</f>
        <v>Еще фото</v>
      </c>
      <c r="F222" s="13" t="s">
        <v>98</v>
      </c>
      <c r="G222" s="11" t="s">
        <v>28</v>
      </c>
      <c r="H222" s="11" t="s">
        <v>27</v>
      </c>
      <c r="I222" s="14" t="s">
        <v>28</v>
      </c>
      <c r="J222" s="14" t="s">
        <v>29</v>
      </c>
      <c r="K222" s="15" t="s">
        <v>64</v>
      </c>
      <c r="L222" s="56" t="s">
        <v>390</v>
      </c>
      <c r="M222" s="14"/>
      <c r="N222" s="14" t="s">
        <v>33</v>
      </c>
      <c r="O222" s="14"/>
      <c r="P222" s="15" t="s">
        <v>391</v>
      </c>
      <c r="Q222" s="16">
        <v>6199</v>
      </c>
      <c r="R222" s="17">
        <v>40</v>
      </c>
      <c r="S222" s="18">
        <v>4277.3099999999995</v>
      </c>
      <c r="T222" s="19" t="s">
        <v>36</v>
      </c>
      <c r="U222" s="20" t="s">
        <v>69</v>
      </c>
      <c r="V222" s="21" t="s">
        <v>70</v>
      </c>
      <c r="W222" s="22">
        <v>7</v>
      </c>
      <c r="X222" s="23"/>
    </row>
    <row r="223" spans="1:24" s="1" customFormat="1" ht="60.95" customHeight="1" x14ac:dyDescent="0.3">
      <c r="A223" s="24" t="s">
        <v>23</v>
      </c>
      <c r="B223" s="24" t="s">
        <v>388</v>
      </c>
      <c r="C223" s="12" t="s">
        <v>389</v>
      </c>
      <c r="D223" s="60"/>
      <c r="E223" s="39" t="str">
        <f>HYPERLINK("https://www.google.ru/search?q=1375077-002&amp;newwindow=1&amp;tbm=isch","Еще фото")</f>
        <v>Еще фото</v>
      </c>
      <c r="F223" s="13" t="s">
        <v>98</v>
      </c>
      <c r="G223" s="24" t="s">
        <v>28</v>
      </c>
      <c r="H223" s="24" t="s">
        <v>27</v>
      </c>
      <c r="I223" s="24" t="s">
        <v>28</v>
      </c>
      <c r="J223" s="14" t="s">
        <v>29</v>
      </c>
      <c r="K223" s="15" t="s">
        <v>64</v>
      </c>
      <c r="L223" s="58"/>
      <c r="M223" s="14"/>
      <c r="N223" s="14" t="s">
        <v>33</v>
      </c>
      <c r="O223" s="14"/>
      <c r="P223" s="15" t="s">
        <v>391</v>
      </c>
      <c r="Q223" s="16">
        <v>6199</v>
      </c>
      <c r="R223" s="17">
        <v>40</v>
      </c>
      <c r="S223" s="18">
        <v>4277.3099999999995</v>
      </c>
      <c r="T223" s="19" t="s">
        <v>36</v>
      </c>
      <c r="U223" s="20" t="s">
        <v>37</v>
      </c>
      <c r="V223" s="21" t="s">
        <v>86</v>
      </c>
      <c r="W223" s="22">
        <v>10</v>
      </c>
      <c r="X223" s="23"/>
    </row>
    <row r="224" spans="1:24" s="1" customFormat="1" ht="108" customHeight="1" x14ac:dyDescent="0.3">
      <c r="A224" s="11" t="s">
        <v>23</v>
      </c>
      <c r="B224" s="11" t="s">
        <v>388</v>
      </c>
      <c r="C224" s="12" t="s">
        <v>392</v>
      </c>
      <c r="D224" s="25"/>
      <c r="E224" s="39" t="str">
        <f>HYPERLINK("https://www.google.ru/search?q=1375077-025&amp;newwindow=1&amp;tbm=isch","Еще фото")</f>
        <v>Еще фото</v>
      </c>
      <c r="F224" s="13"/>
      <c r="G224" s="11" t="s">
        <v>28</v>
      </c>
      <c r="H224" s="11" t="s">
        <v>27</v>
      </c>
      <c r="I224" s="14" t="s">
        <v>28</v>
      </c>
      <c r="J224" s="14" t="s">
        <v>29</v>
      </c>
      <c r="K224" s="15" t="s">
        <v>64</v>
      </c>
      <c r="L224" s="14" t="s">
        <v>390</v>
      </c>
      <c r="M224" s="14"/>
      <c r="N224" s="14" t="s">
        <v>84</v>
      </c>
      <c r="O224" s="14"/>
      <c r="P224" s="15" t="s">
        <v>393</v>
      </c>
      <c r="Q224" s="16">
        <v>6999</v>
      </c>
      <c r="R224" s="17">
        <v>40</v>
      </c>
      <c r="S224" s="18">
        <v>4829.3099999999995</v>
      </c>
      <c r="T224" s="19" t="s">
        <v>36</v>
      </c>
      <c r="U224" s="20" t="s">
        <v>69</v>
      </c>
      <c r="V224" s="21" t="s">
        <v>70</v>
      </c>
      <c r="W224" s="22">
        <v>3</v>
      </c>
      <c r="X224" s="23"/>
    </row>
    <row r="225" spans="1:24" s="1" customFormat="1" ht="108" customHeight="1" x14ac:dyDescent="0.3">
      <c r="A225" s="11" t="s">
        <v>23</v>
      </c>
      <c r="B225" s="11" t="s">
        <v>388</v>
      </c>
      <c r="C225" s="12" t="s">
        <v>394</v>
      </c>
      <c r="D225" s="25"/>
      <c r="E225" s="39" t="str">
        <f>HYPERLINK("https://www.google.ru/search?q=1375077-348&amp;newwindow=1&amp;tbm=isch","Еще фото")</f>
        <v>Еще фото</v>
      </c>
      <c r="F225" s="13"/>
      <c r="G225" s="11" t="s">
        <v>28</v>
      </c>
      <c r="H225" s="11" t="s">
        <v>27</v>
      </c>
      <c r="I225" s="14" t="s">
        <v>28</v>
      </c>
      <c r="J225" s="14" t="s">
        <v>29</v>
      </c>
      <c r="K225" s="15" t="s">
        <v>64</v>
      </c>
      <c r="L225" s="14" t="s">
        <v>390</v>
      </c>
      <c r="M225" s="14"/>
      <c r="N225" s="14" t="s">
        <v>125</v>
      </c>
      <c r="O225" s="14"/>
      <c r="P225" s="15" t="s">
        <v>393</v>
      </c>
      <c r="Q225" s="16">
        <v>6999</v>
      </c>
      <c r="R225" s="17">
        <v>40</v>
      </c>
      <c r="S225" s="18">
        <v>4829.3099999999995</v>
      </c>
      <c r="T225" s="19" t="s">
        <v>36</v>
      </c>
      <c r="U225" s="20" t="s">
        <v>69</v>
      </c>
      <c r="V225" s="21" t="s">
        <v>70</v>
      </c>
      <c r="W225" s="22">
        <v>4</v>
      </c>
      <c r="X225" s="23"/>
    </row>
    <row r="226" spans="1:24" s="1" customFormat="1" ht="108" customHeight="1" x14ac:dyDescent="0.3">
      <c r="A226" s="11" t="s">
        <v>23</v>
      </c>
      <c r="B226" s="11" t="s">
        <v>395</v>
      </c>
      <c r="C226" s="12" t="s">
        <v>396</v>
      </c>
      <c r="D226" s="25"/>
      <c r="E226" s="39" t="str">
        <f>HYPERLINK("https://www.google.ru/search?q=1376800-452&amp;newwindow=1&amp;tbm=isch","Еще фото")</f>
        <v>Еще фото</v>
      </c>
      <c r="F226" s="13"/>
      <c r="G226" s="11" t="s">
        <v>28</v>
      </c>
      <c r="H226" s="11" t="s">
        <v>27</v>
      </c>
      <c r="I226" s="14" t="s">
        <v>28</v>
      </c>
      <c r="J226" s="14" t="s">
        <v>29</v>
      </c>
      <c r="K226" s="15" t="s">
        <v>30</v>
      </c>
      <c r="L226" s="14" t="s">
        <v>397</v>
      </c>
      <c r="M226" s="14"/>
      <c r="N226" s="14" t="s">
        <v>91</v>
      </c>
      <c r="O226" s="14"/>
      <c r="P226" s="15" t="s">
        <v>100</v>
      </c>
      <c r="Q226" s="16">
        <v>7199</v>
      </c>
      <c r="R226" s="17">
        <v>40</v>
      </c>
      <c r="S226" s="18">
        <v>4967.3099999999995</v>
      </c>
      <c r="T226" s="19" t="s">
        <v>36</v>
      </c>
      <c r="U226" s="20" t="s">
        <v>39</v>
      </c>
      <c r="V226" s="21" t="s">
        <v>40</v>
      </c>
      <c r="W226" s="22">
        <v>1</v>
      </c>
      <c r="X226" s="23"/>
    </row>
    <row r="227" spans="1:24" s="1" customFormat="1" ht="51.95" customHeight="1" x14ac:dyDescent="0.3">
      <c r="A227" s="11" t="s">
        <v>23</v>
      </c>
      <c r="B227" s="11" t="s">
        <v>398</v>
      </c>
      <c r="C227" s="12" t="s">
        <v>399</v>
      </c>
      <c r="D227" s="59"/>
      <c r="E227" s="39" t="str">
        <f>HYPERLINK("https://www.google.ru/search?q=1377042-348&amp;newwindow=1&amp;tbm=isch","Еще фото")</f>
        <v>Еще фото</v>
      </c>
      <c r="F227" s="13"/>
      <c r="G227" s="11" t="s">
        <v>28</v>
      </c>
      <c r="H227" s="11" t="s">
        <v>27</v>
      </c>
      <c r="I227" s="14" t="s">
        <v>28</v>
      </c>
      <c r="J227" s="14" t="s">
        <v>29</v>
      </c>
      <c r="K227" s="15" t="s">
        <v>64</v>
      </c>
      <c r="L227" s="56" t="s">
        <v>400</v>
      </c>
      <c r="M227" s="14" t="s">
        <v>32</v>
      </c>
      <c r="N227" s="14" t="s">
        <v>125</v>
      </c>
      <c r="O227" s="14"/>
      <c r="P227" s="15" t="s">
        <v>100</v>
      </c>
      <c r="Q227" s="16">
        <v>9999</v>
      </c>
      <c r="R227" s="17">
        <v>40</v>
      </c>
      <c r="S227" s="18">
        <v>6899.3099999999995</v>
      </c>
      <c r="T227" s="19" t="s">
        <v>36</v>
      </c>
      <c r="U227" s="20" t="s">
        <v>69</v>
      </c>
      <c r="V227" s="21" t="s">
        <v>70</v>
      </c>
      <c r="W227" s="22">
        <v>1</v>
      </c>
      <c r="X227" s="23"/>
    </row>
    <row r="228" spans="1:24" s="1" customFormat="1" ht="60.95" customHeight="1" x14ac:dyDescent="0.3">
      <c r="A228" s="24" t="s">
        <v>23</v>
      </c>
      <c r="B228" s="24" t="s">
        <v>398</v>
      </c>
      <c r="C228" s="12" t="s">
        <v>399</v>
      </c>
      <c r="D228" s="60"/>
      <c r="E228" s="39" t="str">
        <f>HYPERLINK("https://www.google.ru/search?q=1377042-348&amp;newwindow=1&amp;tbm=isch","Еще фото")</f>
        <v>Еще фото</v>
      </c>
      <c r="F228" s="13"/>
      <c r="G228" s="24" t="s">
        <v>28</v>
      </c>
      <c r="H228" s="24" t="s">
        <v>27</v>
      </c>
      <c r="I228" s="24" t="s">
        <v>28</v>
      </c>
      <c r="J228" s="14" t="s">
        <v>29</v>
      </c>
      <c r="K228" s="15" t="s">
        <v>64</v>
      </c>
      <c r="L228" s="58"/>
      <c r="M228" s="14" t="s">
        <v>32</v>
      </c>
      <c r="N228" s="14" t="s">
        <v>125</v>
      </c>
      <c r="O228" s="14"/>
      <c r="P228" s="15" t="s">
        <v>100</v>
      </c>
      <c r="Q228" s="16">
        <v>9999</v>
      </c>
      <c r="R228" s="17">
        <v>40</v>
      </c>
      <c r="S228" s="18">
        <v>6899.3099999999995</v>
      </c>
      <c r="T228" s="19" t="s">
        <v>36</v>
      </c>
      <c r="U228" s="20" t="s">
        <v>37</v>
      </c>
      <c r="V228" s="21" t="s">
        <v>86</v>
      </c>
      <c r="W228" s="22">
        <v>2</v>
      </c>
      <c r="X228" s="23"/>
    </row>
    <row r="229" spans="1:24" s="1" customFormat="1" ht="35.1" customHeight="1" x14ac:dyDescent="0.3">
      <c r="A229" s="11" t="s">
        <v>23</v>
      </c>
      <c r="B229" s="11" t="s">
        <v>401</v>
      </c>
      <c r="C229" s="12" t="s">
        <v>402</v>
      </c>
      <c r="D229" s="53"/>
      <c r="E229" s="39" t="str">
        <f>HYPERLINK("https://www.google.ru/search?q=1379176-003&amp;newwindow=1&amp;tbm=isch","Еще фото")</f>
        <v>Еще фото</v>
      </c>
      <c r="F229" s="13"/>
      <c r="G229" s="11" t="s">
        <v>28</v>
      </c>
      <c r="H229" s="11" t="s">
        <v>27</v>
      </c>
      <c r="I229" s="14" t="s">
        <v>28</v>
      </c>
      <c r="J229" s="14" t="s">
        <v>29</v>
      </c>
      <c r="K229" s="15" t="s">
        <v>64</v>
      </c>
      <c r="L229" s="56" t="s">
        <v>403</v>
      </c>
      <c r="M229" s="14"/>
      <c r="N229" s="14" t="s">
        <v>33</v>
      </c>
      <c r="O229" s="14"/>
      <c r="P229" s="15" t="s">
        <v>261</v>
      </c>
      <c r="Q229" s="16">
        <v>6599</v>
      </c>
      <c r="R229" s="17">
        <v>40</v>
      </c>
      <c r="S229" s="18">
        <v>4553.3099999999995</v>
      </c>
      <c r="T229" s="19" t="s">
        <v>36</v>
      </c>
      <c r="U229" s="20" t="s">
        <v>69</v>
      </c>
      <c r="V229" s="21" t="s">
        <v>70</v>
      </c>
      <c r="W229" s="22">
        <v>8</v>
      </c>
      <c r="X229" s="23"/>
    </row>
    <row r="230" spans="1:24" s="1" customFormat="1" ht="35.1" customHeight="1" x14ac:dyDescent="0.3">
      <c r="A230" s="24" t="s">
        <v>23</v>
      </c>
      <c r="B230" s="24" t="s">
        <v>401</v>
      </c>
      <c r="C230" s="12" t="s">
        <v>402</v>
      </c>
      <c r="D230" s="54"/>
      <c r="E230" s="39" t="str">
        <f>HYPERLINK("https://www.google.ru/search?q=1379176-003&amp;newwindow=1&amp;tbm=isch","Еще фото")</f>
        <v>Еще фото</v>
      </c>
      <c r="F230" s="13"/>
      <c r="G230" s="24" t="s">
        <v>28</v>
      </c>
      <c r="H230" s="24" t="s">
        <v>27</v>
      </c>
      <c r="I230" s="24" t="s">
        <v>28</v>
      </c>
      <c r="J230" s="14" t="s">
        <v>29</v>
      </c>
      <c r="K230" s="15" t="s">
        <v>64</v>
      </c>
      <c r="L230" s="57"/>
      <c r="M230" s="14"/>
      <c r="N230" s="14" t="s">
        <v>33</v>
      </c>
      <c r="O230" s="14"/>
      <c r="P230" s="15" t="s">
        <v>261</v>
      </c>
      <c r="Q230" s="16">
        <v>6599</v>
      </c>
      <c r="R230" s="17">
        <v>40</v>
      </c>
      <c r="S230" s="18">
        <v>4553.3099999999995</v>
      </c>
      <c r="T230" s="19" t="s">
        <v>36</v>
      </c>
      <c r="U230" s="20" t="s">
        <v>39</v>
      </c>
      <c r="V230" s="21" t="s">
        <v>38</v>
      </c>
      <c r="W230" s="22">
        <v>2</v>
      </c>
      <c r="X230" s="23"/>
    </row>
    <row r="231" spans="1:24" s="1" customFormat="1" ht="36.950000000000003" customHeight="1" x14ac:dyDescent="0.3">
      <c r="A231" s="24" t="s">
        <v>23</v>
      </c>
      <c r="B231" s="24" t="s">
        <v>401</v>
      </c>
      <c r="C231" s="12" t="s">
        <v>402</v>
      </c>
      <c r="D231" s="55"/>
      <c r="E231" s="39" t="str">
        <f>HYPERLINK("https://www.google.ru/search?q=1379176-003&amp;newwindow=1&amp;tbm=isch","Еще фото")</f>
        <v>Еще фото</v>
      </c>
      <c r="F231" s="13"/>
      <c r="G231" s="24" t="s">
        <v>28</v>
      </c>
      <c r="H231" s="24" t="s">
        <v>27</v>
      </c>
      <c r="I231" s="24" t="s">
        <v>28</v>
      </c>
      <c r="J231" s="14" t="s">
        <v>29</v>
      </c>
      <c r="K231" s="15" t="s">
        <v>64</v>
      </c>
      <c r="L231" s="58"/>
      <c r="M231" s="14"/>
      <c r="N231" s="14" t="s">
        <v>33</v>
      </c>
      <c r="O231" s="14"/>
      <c r="P231" s="15" t="s">
        <v>261</v>
      </c>
      <c r="Q231" s="16">
        <v>6599</v>
      </c>
      <c r="R231" s="17">
        <v>40</v>
      </c>
      <c r="S231" s="18">
        <v>4553.3099999999995</v>
      </c>
      <c r="T231" s="19" t="s">
        <v>36</v>
      </c>
      <c r="U231" s="20" t="s">
        <v>404</v>
      </c>
      <c r="V231" s="21" t="s">
        <v>405</v>
      </c>
      <c r="W231" s="22">
        <v>2</v>
      </c>
      <c r="X231" s="23"/>
    </row>
    <row r="232" spans="1:24" s="1" customFormat="1" ht="108" customHeight="1" x14ac:dyDescent="0.3">
      <c r="A232" s="11" t="s">
        <v>23</v>
      </c>
      <c r="B232" s="11" t="s">
        <v>406</v>
      </c>
      <c r="C232" s="12" t="s">
        <v>407</v>
      </c>
      <c r="D232" s="25"/>
      <c r="E232" s="39" t="str">
        <f>HYPERLINK("https://www.google.ru/search?q=1379286-001&amp;newwindow=1&amp;tbm=isch","Еще фото")</f>
        <v>Еще фото</v>
      </c>
      <c r="F232" s="13"/>
      <c r="G232" s="11" t="s">
        <v>28</v>
      </c>
      <c r="H232" s="11" t="s">
        <v>27</v>
      </c>
      <c r="I232" s="14" t="s">
        <v>28</v>
      </c>
      <c r="J232" s="14" t="s">
        <v>29</v>
      </c>
      <c r="K232" s="15" t="s">
        <v>54</v>
      </c>
      <c r="L232" s="14" t="s">
        <v>408</v>
      </c>
      <c r="M232" s="14" t="s">
        <v>409</v>
      </c>
      <c r="N232" s="14" t="s">
        <v>410</v>
      </c>
      <c r="O232" s="14"/>
      <c r="P232" s="15" t="s">
        <v>51</v>
      </c>
      <c r="Q232" s="16">
        <v>8299</v>
      </c>
      <c r="R232" s="17">
        <v>40</v>
      </c>
      <c r="S232" s="18">
        <v>5726.3099999999995</v>
      </c>
      <c r="T232" s="19" t="s">
        <v>36</v>
      </c>
      <c r="U232" s="20" t="s">
        <v>126</v>
      </c>
      <c r="V232" s="21" t="s">
        <v>127</v>
      </c>
      <c r="W232" s="22">
        <v>2</v>
      </c>
      <c r="X232" s="23"/>
    </row>
    <row r="233" spans="1:24" s="1" customFormat="1" ht="108" customHeight="1" x14ac:dyDescent="0.3">
      <c r="A233" s="11" t="s">
        <v>23</v>
      </c>
      <c r="B233" s="11" t="s">
        <v>411</v>
      </c>
      <c r="C233" s="12" t="s">
        <v>412</v>
      </c>
      <c r="D233" s="25"/>
      <c r="E233" s="39" t="str">
        <f>HYPERLINK("https://www.google.ru/search?q=1379289-001&amp;newwindow=1&amp;tbm=isch","Еще фото")</f>
        <v>Еще фото</v>
      </c>
      <c r="F233" s="13" t="s">
        <v>98</v>
      </c>
      <c r="G233" s="11" t="s">
        <v>28</v>
      </c>
      <c r="H233" s="11" t="s">
        <v>27</v>
      </c>
      <c r="I233" s="14" t="s">
        <v>28</v>
      </c>
      <c r="J233" s="14" t="s">
        <v>29</v>
      </c>
      <c r="K233" s="15" t="s">
        <v>30</v>
      </c>
      <c r="L233" s="14" t="s">
        <v>413</v>
      </c>
      <c r="M233" s="14"/>
      <c r="N233" s="14" t="s">
        <v>33</v>
      </c>
      <c r="O233" s="14"/>
      <c r="P233" s="15" t="s">
        <v>414</v>
      </c>
      <c r="Q233" s="16">
        <v>10299</v>
      </c>
      <c r="R233" s="17">
        <v>40</v>
      </c>
      <c r="S233" s="18">
        <v>7106.3099999999986</v>
      </c>
      <c r="T233" s="19" t="s">
        <v>36</v>
      </c>
      <c r="U233" s="20" t="s">
        <v>37</v>
      </c>
      <c r="V233" s="21" t="s">
        <v>38</v>
      </c>
      <c r="W233" s="22">
        <v>1</v>
      </c>
      <c r="X233" s="23"/>
    </row>
    <row r="234" spans="1:24" s="1" customFormat="1" ht="108" customHeight="1" x14ac:dyDescent="0.3">
      <c r="A234" s="11" t="s">
        <v>23</v>
      </c>
      <c r="B234" s="11" t="s">
        <v>415</v>
      </c>
      <c r="C234" s="12" t="s">
        <v>416</v>
      </c>
      <c r="D234" s="25"/>
      <c r="E234" s="39" t="str">
        <f>HYPERLINK("https://www.google.ru/search?q=1379307-001&amp;newwindow=1&amp;tbm=isch","Еще фото")</f>
        <v>Еще фото</v>
      </c>
      <c r="F234" s="13"/>
      <c r="G234" s="11" t="s">
        <v>28</v>
      </c>
      <c r="H234" s="11" t="s">
        <v>27</v>
      </c>
      <c r="I234" s="14" t="s">
        <v>28</v>
      </c>
      <c r="J234" s="14" t="s">
        <v>29</v>
      </c>
      <c r="K234" s="15" t="s">
        <v>30</v>
      </c>
      <c r="L234" s="14" t="s">
        <v>417</v>
      </c>
      <c r="M234" s="14"/>
      <c r="N234" s="14" t="s">
        <v>33</v>
      </c>
      <c r="O234" s="14"/>
      <c r="P234" s="15" t="s">
        <v>418</v>
      </c>
      <c r="Q234" s="16">
        <v>15999</v>
      </c>
      <c r="R234" s="17">
        <v>40</v>
      </c>
      <c r="S234" s="18">
        <v>11039.31</v>
      </c>
      <c r="T234" s="19" t="s">
        <v>36</v>
      </c>
      <c r="U234" s="20" t="s">
        <v>39</v>
      </c>
      <c r="V234" s="21" t="s">
        <v>40</v>
      </c>
      <c r="W234" s="22">
        <v>1</v>
      </c>
      <c r="X234" s="23"/>
    </row>
    <row r="235" spans="1:24" s="1" customFormat="1" ht="108" customHeight="1" x14ac:dyDescent="0.3">
      <c r="A235" s="11" t="s">
        <v>23</v>
      </c>
      <c r="B235" s="11" t="s">
        <v>419</v>
      </c>
      <c r="C235" s="12" t="s">
        <v>420</v>
      </c>
      <c r="D235" s="25"/>
      <c r="E235" s="39" t="str">
        <f>HYPERLINK("https://www.google.ru/search?q=1379438-012&amp;newwindow=1&amp;tbm=isch","Еще фото")</f>
        <v>Еще фото</v>
      </c>
      <c r="F235" s="13"/>
      <c r="G235" s="11" t="s">
        <v>28</v>
      </c>
      <c r="H235" s="11" t="s">
        <v>27</v>
      </c>
      <c r="I235" s="14" t="s">
        <v>28</v>
      </c>
      <c r="J235" s="14" t="s">
        <v>29</v>
      </c>
      <c r="K235" s="15" t="s">
        <v>64</v>
      </c>
      <c r="L235" s="14" t="s">
        <v>421</v>
      </c>
      <c r="M235" s="14"/>
      <c r="N235" s="14" t="s">
        <v>84</v>
      </c>
      <c r="O235" s="14"/>
      <c r="P235" s="15" t="s">
        <v>113</v>
      </c>
      <c r="Q235" s="16">
        <v>4599</v>
      </c>
      <c r="R235" s="17">
        <v>40</v>
      </c>
      <c r="S235" s="18">
        <v>3173.31</v>
      </c>
      <c r="T235" s="19" t="s">
        <v>36</v>
      </c>
      <c r="U235" s="20" t="s">
        <v>69</v>
      </c>
      <c r="V235" s="21" t="s">
        <v>70</v>
      </c>
      <c r="W235" s="22">
        <v>2</v>
      </c>
      <c r="X235" s="23"/>
    </row>
    <row r="236" spans="1:24" s="1" customFormat="1" ht="21" customHeight="1" x14ac:dyDescent="0.3">
      <c r="A236" s="11" t="s">
        <v>23</v>
      </c>
      <c r="B236" s="11" t="s">
        <v>422</v>
      </c>
      <c r="C236" s="26" t="s">
        <v>423</v>
      </c>
      <c r="D236" s="53"/>
      <c r="E236" s="39" t="str">
        <f>HYPERLINK("https://www.google.ru/search?q=1379774-025&amp;newwindow=1&amp;tbm=isch","Еще фото")</f>
        <v>Еще фото</v>
      </c>
      <c r="F236" s="13" t="s">
        <v>98</v>
      </c>
      <c r="G236" s="11" t="s">
        <v>28</v>
      </c>
      <c r="H236" s="11" t="s">
        <v>27</v>
      </c>
      <c r="I236" s="14" t="s">
        <v>28</v>
      </c>
      <c r="J236" s="14" t="s">
        <v>29</v>
      </c>
      <c r="K236" s="15" t="s">
        <v>30</v>
      </c>
      <c r="L236" s="56" t="s">
        <v>424</v>
      </c>
      <c r="M236" s="14"/>
      <c r="N236" s="14" t="s">
        <v>84</v>
      </c>
      <c r="O236" s="14"/>
      <c r="P236" s="15" t="s">
        <v>385</v>
      </c>
      <c r="Q236" s="16">
        <v>7399</v>
      </c>
      <c r="R236" s="17">
        <v>40</v>
      </c>
      <c r="S236" s="18">
        <v>5105.3099999999995</v>
      </c>
      <c r="T236" s="19" t="s">
        <v>36</v>
      </c>
      <c r="U236" s="20" t="s">
        <v>37</v>
      </c>
      <c r="V236" s="21" t="s">
        <v>38</v>
      </c>
      <c r="W236" s="22">
        <v>3</v>
      </c>
      <c r="X236" s="23"/>
    </row>
    <row r="237" spans="1:24" s="1" customFormat="1" ht="21" customHeight="1" x14ac:dyDescent="0.3">
      <c r="A237" s="24" t="s">
        <v>23</v>
      </c>
      <c r="B237" s="24" t="s">
        <v>422</v>
      </c>
      <c r="C237" s="27" t="s">
        <v>423</v>
      </c>
      <c r="D237" s="54"/>
      <c r="E237" s="39" t="str">
        <f>HYPERLINK("https://www.google.ru/search?q=1379774-025&amp;newwindow=1&amp;tbm=isch","Еще фото")</f>
        <v>Еще фото</v>
      </c>
      <c r="F237" s="13" t="s">
        <v>98</v>
      </c>
      <c r="G237" s="24" t="s">
        <v>28</v>
      </c>
      <c r="H237" s="24" t="s">
        <v>27</v>
      </c>
      <c r="I237" s="24" t="s">
        <v>28</v>
      </c>
      <c r="J237" s="14" t="s">
        <v>29</v>
      </c>
      <c r="K237" s="15" t="s">
        <v>30</v>
      </c>
      <c r="L237" s="57"/>
      <c r="M237" s="14"/>
      <c r="N237" s="14" t="s">
        <v>84</v>
      </c>
      <c r="O237" s="14"/>
      <c r="P237" s="15" t="s">
        <v>385</v>
      </c>
      <c r="Q237" s="16">
        <v>7399</v>
      </c>
      <c r="R237" s="17">
        <v>40</v>
      </c>
      <c r="S237" s="18">
        <v>5105.3099999999995</v>
      </c>
      <c r="T237" s="19" t="s">
        <v>36</v>
      </c>
      <c r="U237" s="20" t="s">
        <v>39</v>
      </c>
      <c r="V237" s="21" t="s">
        <v>40</v>
      </c>
      <c r="W237" s="22">
        <v>11</v>
      </c>
      <c r="X237" s="23"/>
    </row>
    <row r="238" spans="1:24" s="1" customFormat="1" ht="21" customHeight="1" x14ac:dyDescent="0.3">
      <c r="A238" s="24" t="s">
        <v>23</v>
      </c>
      <c r="B238" s="24" t="s">
        <v>422</v>
      </c>
      <c r="C238" s="27" t="s">
        <v>423</v>
      </c>
      <c r="D238" s="54"/>
      <c r="E238" s="39" t="str">
        <f>HYPERLINK("https://www.google.ru/search?q=1379774-025&amp;newwindow=1&amp;tbm=isch","Еще фото")</f>
        <v>Еще фото</v>
      </c>
      <c r="F238" s="13" t="s">
        <v>98</v>
      </c>
      <c r="G238" s="24" t="s">
        <v>28</v>
      </c>
      <c r="H238" s="24" t="s">
        <v>27</v>
      </c>
      <c r="I238" s="24" t="s">
        <v>28</v>
      </c>
      <c r="J238" s="14" t="s">
        <v>29</v>
      </c>
      <c r="K238" s="15" t="s">
        <v>30</v>
      </c>
      <c r="L238" s="57"/>
      <c r="M238" s="14"/>
      <c r="N238" s="14" t="s">
        <v>84</v>
      </c>
      <c r="O238" s="14"/>
      <c r="P238" s="15" t="s">
        <v>385</v>
      </c>
      <c r="Q238" s="16">
        <v>7399</v>
      </c>
      <c r="R238" s="17">
        <v>40</v>
      </c>
      <c r="S238" s="18">
        <v>5105.3099999999995</v>
      </c>
      <c r="T238" s="19" t="s">
        <v>36</v>
      </c>
      <c r="U238" s="20" t="s">
        <v>41</v>
      </c>
      <c r="V238" s="21" t="s">
        <v>42</v>
      </c>
      <c r="W238" s="22">
        <v>3</v>
      </c>
      <c r="X238" s="23"/>
    </row>
    <row r="239" spans="1:24" s="1" customFormat="1" ht="21" customHeight="1" x14ac:dyDescent="0.3">
      <c r="A239" s="24" t="s">
        <v>23</v>
      </c>
      <c r="B239" s="24" t="s">
        <v>422</v>
      </c>
      <c r="C239" s="27" t="s">
        <v>423</v>
      </c>
      <c r="D239" s="54"/>
      <c r="E239" s="39" t="str">
        <f>HYPERLINK("https://www.google.ru/search?q=1379774-025&amp;newwindow=1&amp;tbm=isch","Еще фото")</f>
        <v>Еще фото</v>
      </c>
      <c r="F239" s="13" t="s">
        <v>98</v>
      </c>
      <c r="G239" s="24" t="s">
        <v>28</v>
      </c>
      <c r="H239" s="24" t="s">
        <v>27</v>
      </c>
      <c r="I239" s="24" t="s">
        <v>28</v>
      </c>
      <c r="J239" s="14" t="s">
        <v>29</v>
      </c>
      <c r="K239" s="15" t="s">
        <v>30</v>
      </c>
      <c r="L239" s="57"/>
      <c r="M239" s="14"/>
      <c r="N239" s="14" t="s">
        <v>84</v>
      </c>
      <c r="O239" s="14"/>
      <c r="P239" s="15" t="s">
        <v>385</v>
      </c>
      <c r="Q239" s="16">
        <v>7399</v>
      </c>
      <c r="R239" s="17">
        <v>40</v>
      </c>
      <c r="S239" s="18">
        <v>5105.3099999999995</v>
      </c>
      <c r="T239" s="19" t="s">
        <v>36</v>
      </c>
      <c r="U239" s="20" t="s">
        <v>43</v>
      </c>
      <c r="V239" s="21" t="s">
        <v>44</v>
      </c>
      <c r="W239" s="22">
        <v>4</v>
      </c>
      <c r="X239" s="23"/>
    </row>
    <row r="240" spans="1:24" s="1" customFormat="1" ht="32.1" customHeight="1" x14ac:dyDescent="0.3">
      <c r="A240" s="24" t="s">
        <v>23</v>
      </c>
      <c r="B240" s="24" t="s">
        <v>422</v>
      </c>
      <c r="C240" s="27" t="s">
        <v>423</v>
      </c>
      <c r="D240" s="55"/>
      <c r="E240" s="39" t="str">
        <f>HYPERLINK("https://www.google.ru/search?q=1379774-025&amp;newwindow=1&amp;tbm=isch","Еще фото")</f>
        <v>Еще фото</v>
      </c>
      <c r="F240" s="13" t="s">
        <v>98</v>
      </c>
      <c r="G240" s="24" t="s">
        <v>28</v>
      </c>
      <c r="H240" s="24" t="s">
        <v>27</v>
      </c>
      <c r="I240" s="24" t="s">
        <v>28</v>
      </c>
      <c r="J240" s="14" t="s">
        <v>29</v>
      </c>
      <c r="K240" s="15" t="s">
        <v>30</v>
      </c>
      <c r="L240" s="58"/>
      <c r="M240" s="14"/>
      <c r="N240" s="14" t="s">
        <v>84</v>
      </c>
      <c r="O240" s="14"/>
      <c r="P240" s="15" t="s">
        <v>385</v>
      </c>
      <c r="Q240" s="16">
        <v>7399</v>
      </c>
      <c r="R240" s="17">
        <v>40</v>
      </c>
      <c r="S240" s="18">
        <v>5105.3099999999995</v>
      </c>
      <c r="T240" s="19" t="s">
        <v>36</v>
      </c>
      <c r="U240" s="20" t="s">
        <v>104</v>
      </c>
      <c r="V240" s="21" t="s">
        <v>105</v>
      </c>
      <c r="W240" s="22">
        <v>5</v>
      </c>
      <c r="X240" s="23"/>
    </row>
    <row r="241" spans="1:24" s="1" customFormat="1" ht="26.1" customHeight="1" x14ac:dyDescent="0.3">
      <c r="A241" s="11" t="s">
        <v>23</v>
      </c>
      <c r="B241" s="11" t="s">
        <v>422</v>
      </c>
      <c r="C241" s="12" t="s">
        <v>425</v>
      </c>
      <c r="D241" s="53"/>
      <c r="E241" s="39" t="str">
        <f>HYPERLINK("https://www.google.ru/search?q=1379774-390&amp;newwindow=1&amp;tbm=isch","Еще фото")</f>
        <v>Еще фото</v>
      </c>
      <c r="F241" s="13" t="s">
        <v>310</v>
      </c>
      <c r="G241" s="11" t="s">
        <v>28</v>
      </c>
      <c r="H241" s="11" t="s">
        <v>27</v>
      </c>
      <c r="I241" s="14" t="s">
        <v>28</v>
      </c>
      <c r="J241" s="14" t="s">
        <v>29</v>
      </c>
      <c r="K241" s="15" t="s">
        <v>30</v>
      </c>
      <c r="L241" s="56" t="s">
        <v>426</v>
      </c>
      <c r="M241" s="14"/>
      <c r="N241" s="14" t="s">
        <v>125</v>
      </c>
      <c r="O241" s="14"/>
      <c r="P241" s="15" t="s">
        <v>113</v>
      </c>
      <c r="Q241" s="16">
        <v>5699</v>
      </c>
      <c r="R241" s="17">
        <v>40</v>
      </c>
      <c r="S241" s="18">
        <v>3932.31</v>
      </c>
      <c r="T241" s="19" t="s">
        <v>36</v>
      </c>
      <c r="U241" s="20" t="s">
        <v>37</v>
      </c>
      <c r="V241" s="21" t="s">
        <v>38</v>
      </c>
      <c r="W241" s="22">
        <v>3</v>
      </c>
      <c r="X241" s="23"/>
    </row>
    <row r="242" spans="1:24" s="1" customFormat="1" ht="26.1" customHeight="1" x14ac:dyDescent="0.3">
      <c r="A242" s="24" t="s">
        <v>23</v>
      </c>
      <c r="B242" s="24" t="s">
        <v>422</v>
      </c>
      <c r="C242" s="12" t="s">
        <v>425</v>
      </c>
      <c r="D242" s="54"/>
      <c r="E242" s="39" t="str">
        <f>HYPERLINK("https://www.google.ru/search?q=1379774-390&amp;newwindow=1&amp;tbm=isch","Еще фото")</f>
        <v>Еще фото</v>
      </c>
      <c r="F242" s="13" t="s">
        <v>310</v>
      </c>
      <c r="G242" s="24" t="s">
        <v>28</v>
      </c>
      <c r="H242" s="24" t="s">
        <v>27</v>
      </c>
      <c r="I242" s="24" t="s">
        <v>28</v>
      </c>
      <c r="J242" s="14" t="s">
        <v>29</v>
      </c>
      <c r="K242" s="15" t="s">
        <v>30</v>
      </c>
      <c r="L242" s="57"/>
      <c r="M242" s="14"/>
      <c r="N242" s="14" t="s">
        <v>125</v>
      </c>
      <c r="O242" s="14"/>
      <c r="P242" s="15" t="s">
        <v>113</v>
      </c>
      <c r="Q242" s="16">
        <v>5699</v>
      </c>
      <c r="R242" s="17">
        <v>40</v>
      </c>
      <c r="S242" s="18">
        <v>3932.31</v>
      </c>
      <c r="T242" s="19" t="s">
        <v>36</v>
      </c>
      <c r="U242" s="20" t="s">
        <v>39</v>
      </c>
      <c r="V242" s="21" t="s">
        <v>40</v>
      </c>
      <c r="W242" s="22">
        <v>13</v>
      </c>
      <c r="X242" s="23"/>
    </row>
    <row r="243" spans="1:24" s="1" customFormat="1" ht="26.1" customHeight="1" x14ac:dyDescent="0.3">
      <c r="A243" s="24" t="s">
        <v>23</v>
      </c>
      <c r="B243" s="24" t="s">
        <v>422</v>
      </c>
      <c r="C243" s="12" t="s">
        <v>425</v>
      </c>
      <c r="D243" s="54"/>
      <c r="E243" s="39" t="str">
        <f>HYPERLINK("https://www.google.ru/search?q=1379774-390&amp;newwindow=1&amp;tbm=isch","Еще фото")</f>
        <v>Еще фото</v>
      </c>
      <c r="F243" s="13" t="s">
        <v>310</v>
      </c>
      <c r="G243" s="24" t="s">
        <v>28</v>
      </c>
      <c r="H243" s="24" t="s">
        <v>27</v>
      </c>
      <c r="I243" s="24" t="s">
        <v>28</v>
      </c>
      <c r="J243" s="14" t="s">
        <v>29</v>
      </c>
      <c r="K243" s="15" t="s">
        <v>30</v>
      </c>
      <c r="L243" s="57"/>
      <c r="M243" s="14"/>
      <c r="N243" s="14" t="s">
        <v>125</v>
      </c>
      <c r="O243" s="14"/>
      <c r="P243" s="15" t="s">
        <v>113</v>
      </c>
      <c r="Q243" s="16">
        <v>5699</v>
      </c>
      <c r="R243" s="17">
        <v>40</v>
      </c>
      <c r="S243" s="18">
        <v>3932.31</v>
      </c>
      <c r="T243" s="19" t="s">
        <v>36</v>
      </c>
      <c r="U243" s="20" t="s">
        <v>41</v>
      </c>
      <c r="V243" s="21" t="s">
        <v>42</v>
      </c>
      <c r="W243" s="22">
        <v>14</v>
      </c>
      <c r="X243" s="23"/>
    </row>
    <row r="244" spans="1:24" s="1" customFormat="1" ht="26.1" customHeight="1" x14ac:dyDescent="0.3">
      <c r="A244" s="24" t="s">
        <v>23</v>
      </c>
      <c r="B244" s="24" t="s">
        <v>422</v>
      </c>
      <c r="C244" s="12" t="s">
        <v>425</v>
      </c>
      <c r="D244" s="55"/>
      <c r="E244" s="39" t="str">
        <f>HYPERLINK("https://www.google.ru/search?q=1379774-390&amp;newwindow=1&amp;tbm=isch","Еще фото")</f>
        <v>Еще фото</v>
      </c>
      <c r="F244" s="13" t="s">
        <v>310</v>
      </c>
      <c r="G244" s="24" t="s">
        <v>28</v>
      </c>
      <c r="H244" s="24" t="s">
        <v>27</v>
      </c>
      <c r="I244" s="24" t="s">
        <v>28</v>
      </c>
      <c r="J244" s="14" t="s">
        <v>29</v>
      </c>
      <c r="K244" s="15" t="s">
        <v>30</v>
      </c>
      <c r="L244" s="58"/>
      <c r="M244" s="14"/>
      <c r="N244" s="14" t="s">
        <v>125</v>
      </c>
      <c r="O244" s="14"/>
      <c r="P244" s="15" t="s">
        <v>113</v>
      </c>
      <c r="Q244" s="16">
        <v>5699</v>
      </c>
      <c r="R244" s="17">
        <v>40</v>
      </c>
      <c r="S244" s="18">
        <v>3932.31</v>
      </c>
      <c r="T244" s="19" t="s">
        <v>36</v>
      </c>
      <c r="U244" s="20" t="s">
        <v>43</v>
      </c>
      <c r="V244" s="21" t="s">
        <v>44</v>
      </c>
      <c r="W244" s="22">
        <v>1</v>
      </c>
      <c r="X244" s="23"/>
    </row>
    <row r="245" spans="1:24" s="1" customFormat="1" ht="51.95" customHeight="1" x14ac:dyDescent="0.3">
      <c r="A245" s="11" t="s">
        <v>23</v>
      </c>
      <c r="B245" s="11" t="s">
        <v>422</v>
      </c>
      <c r="C245" s="12" t="s">
        <v>427</v>
      </c>
      <c r="D245" s="59"/>
      <c r="E245" s="39" t="str">
        <f>HYPERLINK("https://www.google.ru/search?q=1379774-410&amp;newwindow=1&amp;tbm=isch","Еще фото")</f>
        <v>Еще фото</v>
      </c>
      <c r="F245" s="13" t="s">
        <v>98</v>
      </c>
      <c r="G245" s="11" t="s">
        <v>28</v>
      </c>
      <c r="H245" s="11" t="s">
        <v>27</v>
      </c>
      <c r="I245" s="14" t="s">
        <v>28</v>
      </c>
      <c r="J245" s="14" t="s">
        <v>29</v>
      </c>
      <c r="K245" s="15" t="s">
        <v>30</v>
      </c>
      <c r="L245" s="56" t="s">
        <v>424</v>
      </c>
      <c r="M245" s="14"/>
      <c r="N245" s="14" t="s">
        <v>91</v>
      </c>
      <c r="O245" s="14"/>
      <c r="P245" s="15" t="s">
        <v>113</v>
      </c>
      <c r="Q245" s="16">
        <v>5599</v>
      </c>
      <c r="R245" s="17">
        <v>40</v>
      </c>
      <c r="S245" s="18">
        <v>3863.31</v>
      </c>
      <c r="T245" s="19" t="s">
        <v>36</v>
      </c>
      <c r="U245" s="20" t="s">
        <v>39</v>
      </c>
      <c r="V245" s="21" t="s">
        <v>40</v>
      </c>
      <c r="W245" s="22">
        <v>5</v>
      </c>
      <c r="X245" s="23"/>
    </row>
    <row r="246" spans="1:24" s="1" customFormat="1" ht="60.95" customHeight="1" x14ac:dyDescent="0.3">
      <c r="A246" s="24" t="s">
        <v>23</v>
      </c>
      <c r="B246" s="24" t="s">
        <v>422</v>
      </c>
      <c r="C246" s="12" t="s">
        <v>427</v>
      </c>
      <c r="D246" s="60"/>
      <c r="E246" s="39" t="str">
        <f>HYPERLINK("https://www.google.ru/search?q=1379774-410&amp;newwindow=1&amp;tbm=isch","Еще фото")</f>
        <v>Еще фото</v>
      </c>
      <c r="F246" s="13" t="s">
        <v>98</v>
      </c>
      <c r="G246" s="24" t="s">
        <v>28</v>
      </c>
      <c r="H246" s="24" t="s">
        <v>27</v>
      </c>
      <c r="I246" s="24" t="s">
        <v>28</v>
      </c>
      <c r="J246" s="14" t="s">
        <v>29</v>
      </c>
      <c r="K246" s="15" t="s">
        <v>30</v>
      </c>
      <c r="L246" s="58"/>
      <c r="M246" s="14"/>
      <c r="N246" s="14" t="s">
        <v>91</v>
      </c>
      <c r="O246" s="14"/>
      <c r="P246" s="15" t="s">
        <v>113</v>
      </c>
      <c r="Q246" s="16">
        <v>5599</v>
      </c>
      <c r="R246" s="17">
        <v>40</v>
      </c>
      <c r="S246" s="18">
        <v>3863.31</v>
      </c>
      <c r="T246" s="19" t="s">
        <v>36</v>
      </c>
      <c r="U246" s="20" t="s">
        <v>41</v>
      </c>
      <c r="V246" s="21" t="s">
        <v>42</v>
      </c>
      <c r="W246" s="22">
        <v>7</v>
      </c>
      <c r="X246" s="23"/>
    </row>
    <row r="247" spans="1:24" s="1" customFormat="1" ht="108" customHeight="1" x14ac:dyDescent="0.3">
      <c r="A247" s="11" t="s">
        <v>23</v>
      </c>
      <c r="B247" s="11" t="s">
        <v>428</v>
      </c>
      <c r="C247" s="12" t="s">
        <v>429</v>
      </c>
      <c r="D247" s="25"/>
      <c r="E247" s="39" t="str">
        <f>HYPERLINK("https://www.google.ru/search?q=1379789-001&amp;newwindow=1&amp;tbm=isch","Еще фото")</f>
        <v>Еще фото</v>
      </c>
      <c r="F247" s="13"/>
      <c r="G247" s="11" t="s">
        <v>28</v>
      </c>
      <c r="H247" s="11" t="s">
        <v>27</v>
      </c>
      <c r="I247" s="14" t="s">
        <v>28</v>
      </c>
      <c r="J247" s="14" t="s">
        <v>29</v>
      </c>
      <c r="K247" s="15" t="s">
        <v>54</v>
      </c>
      <c r="L247" s="14" t="s">
        <v>426</v>
      </c>
      <c r="M247" s="14" t="s">
        <v>56</v>
      </c>
      <c r="N247" s="14" t="s">
        <v>430</v>
      </c>
      <c r="O247" s="14"/>
      <c r="P247" s="15" t="s">
        <v>113</v>
      </c>
      <c r="Q247" s="16">
        <v>6699</v>
      </c>
      <c r="R247" s="17">
        <v>40</v>
      </c>
      <c r="S247" s="18">
        <v>4622.3099999999995</v>
      </c>
      <c r="T247" s="19" t="s">
        <v>36</v>
      </c>
      <c r="U247" s="20" t="s">
        <v>128</v>
      </c>
      <c r="V247" s="21" t="s">
        <v>129</v>
      </c>
      <c r="W247" s="22">
        <v>2</v>
      </c>
      <c r="X247" s="23"/>
    </row>
    <row r="248" spans="1:24" s="1" customFormat="1" ht="35.1" customHeight="1" x14ac:dyDescent="0.3">
      <c r="A248" s="11" t="s">
        <v>23</v>
      </c>
      <c r="B248" s="11" t="s">
        <v>149</v>
      </c>
      <c r="C248" s="12" t="s">
        <v>431</v>
      </c>
      <c r="D248" s="53"/>
      <c r="E248" s="39" t="str">
        <f>HYPERLINK("https://www.google.ru/search?q=1379846-001&amp;newwindow=1&amp;tbm=isch","Еще фото")</f>
        <v>Еще фото</v>
      </c>
      <c r="F248" s="13" t="s">
        <v>98</v>
      </c>
      <c r="G248" s="11" t="s">
        <v>28</v>
      </c>
      <c r="H248" s="11" t="s">
        <v>27</v>
      </c>
      <c r="I248" s="14" t="s">
        <v>28</v>
      </c>
      <c r="J248" s="14" t="s">
        <v>29</v>
      </c>
      <c r="K248" s="15" t="s">
        <v>64</v>
      </c>
      <c r="L248" s="56" t="s">
        <v>432</v>
      </c>
      <c r="M248" s="14"/>
      <c r="N248" s="14" t="s">
        <v>33</v>
      </c>
      <c r="O248" s="14"/>
      <c r="P248" s="15" t="s">
        <v>152</v>
      </c>
      <c r="Q248" s="16">
        <v>8999</v>
      </c>
      <c r="R248" s="17">
        <v>40</v>
      </c>
      <c r="S248" s="18">
        <v>6209.3099999999995</v>
      </c>
      <c r="T248" s="19" t="s">
        <v>36</v>
      </c>
      <c r="U248" s="20" t="s">
        <v>69</v>
      </c>
      <c r="V248" s="21" t="s">
        <v>70</v>
      </c>
      <c r="W248" s="22">
        <v>2</v>
      </c>
      <c r="X248" s="23"/>
    </row>
    <row r="249" spans="1:24" s="1" customFormat="1" ht="35.1" customHeight="1" x14ac:dyDescent="0.3">
      <c r="A249" s="24" t="s">
        <v>23</v>
      </c>
      <c r="B249" s="24" t="s">
        <v>149</v>
      </c>
      <c r="C249" s="12" t="s">
        <v>431</v>
      </c>
      <c r="D249" s="54"/>
      <c r="E249" s="39" t="str">
        <f>HYPERLINK("https://www.google.ru/search?q=1379846-001&amp;newwindow=1&amp;tbm=isch","Еще фото")</f>
        <v>Еще фото</v>
      </c>
      <c r="F249" s="13" t="s">
        <v>98</v>
      </c>
      <c r="G249" s="24" t="s">
        <v>28</v>
      </c>
      <c r="H249" s="24" t="s">
        <v>27</v>
      </c>
      <c r="I249" s="24" t="s">
        <v>28</v>
      </c>
      <c r="J249" s="14" t="s">
        <v>29</v>
      </c>
      <c r="K249" s="15" t="s">
        <v>64</v>
      </c>
      <c r="L249" s="57"/>
      <c r="M249" s="14"/>
      <c r="N249" s="14" t="s">
        <v>33</v>
      </c>
      <c r="O249" s="14"/>
      <c r="P249" s="15" t="s">
        <v>152</v>
      </c>
      <c r="Q249" s="16">
        <v>8999</v>
      </c>
      <c r="R249" s="17">
        <v>40</v>
      </c>
      <c r="S249" s="18">
        <v>6209.3099999999995</v>
      </c>
      <c r="T249" s="19" t="s">
        <v>36</v>
      </c>
      <c r="U249" s="20" t="s">
        <v>37</v>
      </c>
      <c r="V249" s="21" t="s">
        <v>86</v>
      </c>
      <c r="W249" s="22">
        <v>4</v>
      </c>
      <c r="X249" s="23"/>
    </row>
    <row r="250" spans="1:24" s="1" customFormat="1" ht="36.950000000000003" customHeight="1" x14ac:dyDescent="0.3">
      <c r="A250" s="24" t="s">
        <v>23</v>
      </c>
      <c r="B250" s="24" t="s">
        <v>149</v>
      </c>
      <c r="C250" s="12" t="s">
        <v>431</v>
      </c>
      <c r="D250" s="55"/>
      <c r="E250" s="39" t="str">
        <f>HYPERLINK("https://www.google.ru/search?q=1379846-001&amp;newwindow=1&amp;tbm=isch","Еще фото")</f>
        <v>Еще фото</v>
      </c>
      <c r="F250" s="13" t="s">
        <v>98</v>
      </c>
      <c r="G250" s="24" t="s">
        <v>28</v>
      </c>
      <c r="H250" s="24" t="s">
        <v>27</v>
      </c>
      <c r="I250" s="24" t="s">
        <v>28</v>
      </c>
      <c r="J250" s="14" t="s">
        <v>29</v>
      </c>
      <c r="K250" s="15" t="s">
        <v>64</v>
      </c>
      <c r="L250" s="58"/>
      <c r="M250" s="14"/>
      <c r="N250" s="14" t="s">
        <v>33</v>
      </c>
      <c r="O250" s="14"/>
      <c r="P250" s="15" t="s">
        <v>152</v>
      </c>
      <c r="Q250" s="16">
        <v>8999</v>
      </c>
      <c r="R250" s="17">
        <v>40</v>
      </c>
      <c r="S250" s="18">
        <v>6209.3099999999995</v>
      </c>
      <c r="T250" s="19" t="s">
        <v>36</v>
      </c>
      <c r="U250" s="20" t="s">
        <v>39</v>
      </c>
      <c r="V250" s="21" t="s">
        <v>38</v>
      </c>
      <c r="W250" s="22">
        <v>1</v>
      </c>
      <c r="X250" s="23"/>
    </row>
    <row r="251" spans="1:24" s="1" customFormat="1" ht="108" customHeight="1" x14ac:dyDescent="0.3">
      <c r="A251" s="11" t="s">
        <v>23</v>
      </c>
      <c r="B251" s="11" t="s">
        <v>149</v>
      </c>
      <c r="C251" s="12" t="s">
        <v>433</v>
      </c>
      <c r="D251" s="25"/>
      <c r="E251" s="39" t="str">
        <f>HYPERLINK("https://www.google.ru/search?q=1379846-840&amp;newwindow=1&amp;tbm=isch","Еще фото")</f>
        <v>Еще фото</v>
      </c>
      <c r="F251" s="13"/>
      <c r="G251" s="11" t="s">
        <v>28</v>
      </c>
      <c r="H251" s="11" t="s">
        <v>27</v>
      </c>
      <c r="I251" s="14" t="s">
        <v>28</v>
      </c>
      <c r="J251" s="14" t="s">
        <v>29</v>
      </c>
      <c r="K251" s="15" t="s">
        <v>64</v>
      </c>
      <c r="L251" s="14" t="s">
        <v>151</v>
      </c>
      <c r="M251" s="14"/>
      <c r="N251" s="14" t="s">
        <v>434</v>
      </c>
      <c r="O251" s="14"/>
      <c r="P251" s="15" t="s">
        <v>152</v>
      </c>
      <c r="Q251" s="16">
        <v>9999</v>
      </c>
      <c r="R251" s="17">
        <v>40</v>
      </c>
      <c r="S251" s="18">
        <v>6899.3099999999995</v>
      </c>
      <c r="T251" s="19" t="s">
        <v>36</v>
      </c>
      <c r="U251" s="20" t="s">
        <v>37</v>
      </c>
      <c r="V251" s="21" t="s">
        <v>86</v>
      </c>
      <c r="W251" s="22">
        <v>1</v>
      </c>
      <c r="X251" s="23"/>
    </row>
    <row r="252" spans="1:24" s="1" customFormat="1" ht="51.95" customHeight="1" x14ac:dyDescent="0.3">
      <c r="A252" s="11" t="s">
        <v>23</v>
      </c>
      <c r="B252" s="11" t="s">
        <v>157</v>
      </c>
      <c r="C252" s="12" t="s">
        <v>435</v>
      </c>
      <c r="D252" s="59"/>
      <c r="E252" s="39" t="str">
        <f>HYPERLINK("https://www.google.ru/search?q=1380843-025&amp;newwindow=1&amp;tbm=isch","Еще фото")</f>
        <v>Еще фото</v>
      </c>
      <c r="F252" s="13" t="s">
        <v>98</v>
      </c>
      <c r="G252" s="11" t="s">
        <v>28</v>
      </c>
      <c r="H252" s="11" t="s">
        <v>27</v>
      </c>
      <c r="I252" s="14" t="s">
        <v>28</v>
      </c>
      <c r="J252" s="14" t="s">
        <v>29</v>
      </c>
      <c r="K252" s="15" t="s">
        <v>30</v>
      </c>
      <c r="L252" s="56" t="s">
        <v>159</v>
      </c>
      <c r="M252" s="14"/>
      <c r="N252" s="14" t="s">
        <v>84</v>
      </c>
      <c r="O252" s="14"/>
      <c r="P252" s="15" t="s">
        <v>113</v>
      </c>
      <c r="Q252" s="16">
        <v>9299</v>
      </c>
      <c r="R252" s="17">
        <v>40</v>
      </c>
      <c r="S252" s="18">
        <v>6416.3099999999995</v>
      </c>
      <c r="T252" s="19" t="s">
        <v>36</v>
      </c>
      <c r="U252" s="20" t="s">
        <v>37</v>
      </c>
      <c r="V252" s="21" t="s">
        <v>38</v>
      </c>
      <c r="W252" s="22">
        <v>4</v>
      </c>
      <c r="X252" s="23"/>
    </row>
    <row r="253" spans="1:24" s="1" customFormat="1" ht="60.95" customHeight="1" x14ac:dyDescent="0.3">
      <c r="A253" s="24" t="s">
        <v>23</v>
      </c>
      <c r="B253" s="24" t="s">
        <v>157</v>
      </c>
      <c r="C253" s="12" t="s">
        <v>435</v>
      </c>
      <c r="D253" s="60"/>
      <c r="E253" s="39" t="str">
        <f>HYPERLINK("https://www.google.ru/search?q=1380843-025&amp;newwindow=1&amp;tbm=isch","Еще фото")</f>
        <v>Еще фото</v>
      </c>
      <c r="F253" s="13" t="s">
        <v>98</v>
      </c>
      <c r="G253" s="24" t="s">
        <v>28</v>
      </c>
      <c r="H253" s="24" t="s">
        <v>27</v>
      </c>
      <c r="I253" s="24" t="s">
        <v>28</v>
      </c>
      <c r="J253" s="14" t="s">
        <v>29</v>
      </c>
      <c r="K253" s="15" t="s">
        <v>30</v>
      </c>
      <c r="L253" s="58"/>
      <c r="M253" s="14"/>
      <c r="N253" s="14" t="s">
        <v>84</v>
      </c>
      <c r="O253" s="14"/>
      <c r="P253" s="15" t="s">
        <v>113</v>
      </c>
      <c r="Q253" s="16">
        <v>9299</v>
      </c>
      <c r="R253" s="17">
        <v>40</v>
      </c>
      <c r="S253" s="18">
        <v>6416.3099999999995</v>
      </c>
      <c r="T253" s="19" t="s">
        <v>36</v>
      </c>
      <c r="U253" s="20" t="s">
        <v>39</v>
      </c>
      <c r="V253" s="21" t="s">
        <v>40</v>
      </c>
      <c r="W253" s="22">
        <v>3</v>
      </c>
      <c r="X253" s="23"/>
    </row>
    <row r="254" spans="1:24" s="1" customFormat="1" ht="51.95" customHeight="1" x14ac:dyDescent="0.3">
      <c r="A254" s="11" t="s">
        <v>23</v>
      </c>
      <c r="B254" s="11" t="s">
        <v>157</v>
      </c>
      <c r="C254" s="12" t="s">
        <v>436</v>
      </c>
      <c r="D254" s="59"/>
      <c r="E254" s="39" t="str">
        <f>HYPERLINK("https://www.google.ru/search?q=1380843-390&amp;newwindow=1&amp;tbm=isch","Еще фото")</f>
        <v>Еще фото</v>
      </c>
      <c r="F254" s="13"/>
      <c r="G254" s="11" t="s">
        <v>28</v>
      </c>
      <c r="H254" s="11" t="s">
        <v>27</v>
      </c>
      <c r="I254" s="14" t="s">
        <v>28</v>
      </c>
      <c r="J254" s="14" t="s">
        <v>29</v>
      </c>
      <c r="K254" s="15" t="s">
        <v>30</v>
      </c>
      <c r="L254" s="56" t="s">
        <v>159</v>
      </c>
      <c r="M254" s="14" t="s">
        <v>223</v>
      </c>
      <c r="N254" s="14" t="s">
        <v>125</v>
      </c>
      <c r="O254" s="14"/>
      <c r="P254" s="15" t="s">
        <v>113</v>
      </c>
      <c r="Q254" s="16">
        <v>5199</v>
      </c>
      <c r="R254" s="17">
        <v>40</v>
      </c>
      <c r="S254" s="18">
        <v>3587.31</v>
      </c>
      <c r="T254" s="19" t="s">
        <v>36</v>
      </c>
      <c r="U254" s="20" t="s">
        <v>37</v>
      </c>
      <c r="V254" s="21" t="s">
        <v>38</v>
      </c>
      <c r="W254" s="22">
        <v>3</v>
      </c>
      <c r="X254" s="23"/>
    </row>
    <row r="255" spans="1:24" s="1" customFormat="1" ht="60.95" customHeight="1" x14ac:dyDescent="0.3">
      <c r="A255" s="24" t="s">
        <v>23</v>
      </c>
      <c r="B255" s="24" t="s">
        <v>157</v>
      </c>
      <c r="C255" s="12" t="s">
        <v>436</v>
      </c>
      <c r="D255" s="60"/>
      <c r="E255" s="39" t="str">
        <f>HYPERLINK("https://www.google.ru/search?q=1380843-390&amp;newwindow=1&amp;tbm=isch","Еще фото")</f>
        <v>Еще фото</v>
      </c>
      <c r="F255" s="13"/>
      <c r="G255" s="24" t="s">
        <v>28</v>
      </c>
      <c r="H255" s="24" t="s">
        <v>27</v>
      </c>
      <c r="I255" s="24" t="s">
        <v>28</v>
      </c>
      <c r="J255" s="14" t="s">
        <v>29</v>
      </c>
      <c r="K255" s="15" t="s">
        <v>30</v>
      </c>
      <c r="L255" s="58"/>
      <c r="M255" s="14" t="s">
        <v>223</v>
      </c>
      <c r="N255" s="14" t="s">
        <v>125</v>
      </c>
      <c r="O255" s="14"/>
      <c r="P255" s="15" t="s">
        <v>113</v>
      </c>
      <c r="Q255" s="16">
        <v>5199</v>
      </c>
      <c r="R255" s="17">
        <v>40</v>
      </c>
      <c r="S255" s="18">
        <v>3587.31</v>
      </c>
      <c r="T255" s="19" t="s">
        <v>36</v>
      </c>
      <c r="U255" s="20" t="s">
        <v>39</v>
      </c>
      <c r="V255" s="21" t="s">
        <v>40</v>
      </c>
      <c r="W255" s="22">
        <v>2</v>
      </c>
      <c r="X255" s="23"/>
    </row>
    <row r="256" spans="1:24" s="1" customFormat="1" ht="108" customHeight="1" x14ac:dyDescent="0.3">
      <c r="A256" s="11" t="s">
        <v>23</v>
      </c>
      <c r="B256" s="11" t="s">
        <v>437</v>
      </c>
      <c r="C256" s="12" t="s">
        <v>438</v>
      </c>
      <c r="D256" s="25"/>
      <c r="E256" s="39" t="str">
        <f>HYPERLINK("https://www.google.ru/search?q=1381662-001&amp;newwindow=1&amp;tbm=isch","Еще фото")</f>
        <v>Еще фото</v>
      </c>
      <c r="F256" s="13"/>
      <c r="G256" s="11" t="s">
        <v>63</v>
      </c>
      <c r="H256" s="11" t="s">
        <v>27</v>
      </c>
      <c r="I256" s="14" t="s">
        <v>28</v>
      </c>
      <c r="J256" s="14" t="s">
        <v>29</v>
      </c>
      <c r="K256" s="15" t="s">
        <v>64</v>
      </c>
      <c r="L256" s="14" t="s">
        <v>78</v>
      </c>
      <c r="M256" s="14"/>
      <c r="N256" s="14" t="s">
        <v>33</v>
      </c>
      <c r="O256" s="14"/>
      <c r="P256" s="15" t="s">
        <v>79</v>
      </c>
      <c r="Q256" s="16">
        <v>8699</v>
      </c>
      <c r="R256" s="17">
        <v>40</v>
      </c>
      <c r="S256" s="18">
        <v>6002.3099999999995</v>
      </c>
      <c r="T256" s="19" t="s">
        <v>36</v>
      </c>
      <c r="U256" s="20" t="s">
        <v>69</v>
      </c>
      <c r="V256" s="21" t="s">
        <v>70</v>
      </c>
      <c r="W256" s="22">
        <v>1</v>
      </c>
      <c r="X256" s="23"/>
    </row>
    <row r="257" spans="1:24" s="1" customFormat="1" ht="51.95" customHeight="1" x14ac:dyDescent="0.3">
      <c r="A257" s="11" t="s">
        <v>23</v>
      </c>
      <c r="B257" s="11" t="s">
        <v>439</v>
      </c>
      <c r="C257" s="12" t="s">
        <v>440</v>
      </c>
      <c r="D257" s="59"/>
      <c r="E257" s="39" t="str">
        <f>HYPERLINK("https://www.google.ru/search?q=1382134-026&amp;newwindow=1&amp;tbm=isch","Еще фото")</f>
        <v>Еще фото</v>
      </c>
      <c r="F257" s="13"/>
      <c r="G257" s="11" t="s">
        <v>28</v>
      </c>
      <c r="H257" s="11" t="s">
        <v>27</v>
      </c>
      <c r="I257" s="14" t="s">
        <v>28</v>
      </c>
      <c r="J257" s="14" t="s">
        <v>29</v>
      </c>
      <c r="K257" s="15" t="s">
        <v>30</v>
      </c>
      <c r="L257" s="56" t="s">
        <v>441</v>
      </c>
      <c r="M257" s="14"/>
      <c r="N257" s="14" t="s">
        <v>84</v>
      </c>
      <c r="O257" s="14"/>
      <c r="P257" s="15" t="s">
        <v>113</v>
      </c>
      <c r="Q257" s="16">
        <v>5799</v>
      </c>
      <c r="R257" s="17">
        <v>40</v>
      </c>
      <c r="S257" s="18">
        <v>4001.31</v>
      </c>
      <c r="T257" s="19" t="s">
        <v>36</v>
      </c>
      <c r="U257" s="20" t="s">
        <v>39</v>
      </c>
      <c r="V257" s="21" t="s">
        <v>40</v>
      </c>
      <c r="W257" s="22">
        <v>2</v>
      </c>
      <c r="X257" s="23"/>
    </row>
    <row r="258" spans="1:24" s="1" customFormat="1" ht="60.95" customHeight="1" x14ac:dyDescent="0.3">
      <c r="A258" s="24" t="s">
        <v>23</v>
      </c>
      <c r="B258" s="24" t="s">
        <v>439</v>
      </c>
      <c r="C258" s="12" t="s">
        <v>440</v>
      </c>
      <c r="D258" s="60"/>
      <c r="E258" s="39" t="str">
        <f>HYPERLINK("https://www.google.ru/search?q=1382134-026&amp;newwindow=1&amp;tbm=isch","Еще фото")</f>
        <v>Еще фото</v>
      </c>
      <c r="F258" s="13"/>
      <c r="G258" s="24" t="s">
        <v>28</v>
      </c>
      <c r="H258" s="24" t="s">
        <v>27</v>
      </c>
      <c r="I258" s="24" t="s">
        <v>28</v>
      </c>
      <c r="J258" s="14" t="s">
        <v>29</v>
      </c>
      <c r="K258" s="15" t="s">
        <v>30</v>
      </c>
      <c r="L258" s="58"/>
      <c r="M258" s="14"/>
      <c r="N258" s="14" t="s">
        <v>84</v>
      </c>
      <c r="O258" s="14"/>
      <c r="P258" s="15" t="s">
        <v>113</v>
      </c>
      <c r="Q258" s="16">
        <v>5799</v>
      </c>
      <c r="R258" s="17">
        <v>40</v>
      </c>
      <c r="S258" s="18">
        <v>4001.31</v>
      </c>
      <c r="T258" s="19" t="s">
        <v>36</v>
      </c>
      <c r="U258" s="20" t="s">
        <v>41</v>
      </c>
      <c r="V258" s="21" t="s">
        <v>42</v>
      </c>
      <c r="W258" s="22">
        <v>1</v>
      </c>
      <c r="X258" s="23"/>
    </row>
    <row r="259" spans="1:24" s="1" customFormat="1" ht="35.1" customHeight="1" x14ac:dyDescent="0.3">
      <c r="A259" s="11" t="s">
        <v>23</v>
      </c>
      <c r="B259" s="11" t="s">
        <v>439</v>
      </c>
      <c r="C259" s="12" t="s">
        <v>442</v>
      </c>
      <c r="D259" s="53"/>
      <c r="E259" s="39" t="str">
        <f>HYPERLINK("https://www.google.ru/search?q=1382134-390&amp;newwindow=1&amp;tbm=isch","Еще фото")</f>
        <v>Еще фото</v>
      </c>
      <c r="F259" s="13"/>
      <c r="G259" s="11" t="s">
        <v>28</v>
      </c>
      <c r="H259" s="11" t="s">
        <v>27</v>
      </c>
      <c r="I259" s="14" t="s">
        <v>28</v>
      </c>
      <c r="J259" s="14" t="s">
        <v>29</v>
      </c>
      <c r="K259" s="15" t="s">
        <v>30</v>
      </c>
      <c r="L259" s="56" t="s">
        <v>441</v>
      </c>
      <c r="M259" s="14"/>
      <c r="N259" s="14" t="s">
        <v>125</v>
      </c>
      <c r="O259" s="14"/>
      <c r="P259" s="15" t="s">
        <v>113</v>
      </c>
      <c r="Q259" s="16">
        <v>8099</v>
      </c>
      <c r="R259" s="17">
        <v>40</v>
      </c>
      <c r="S259" s="18">
        <v>5588.3099999999995</v>
      </c>
      <c r="T259" s="19" t="s">
        <v>36</v>
      </c>
      <c r="U259" s="20" t="s">
        <v>69</v>
      </c>
      <c r="V259" s="21" t="s">
        <v>75</v>
      </c>
      <c r="W259" s="22">
        <v>1</v>
      </c>
      <c r="X259" s="23"/>
    </row>
    <row r="260" spans="1:24" s="1" customFormat="1" ht="35.1" customHeight="1" x14ac:dyDescent="0.3">
      <c r="A260" s="24" t="s">
        <v>23</v>
      </c>
      <c r="B260" s="24" t="s">
        <v>439</v>
      </c>
      <c r="C260" s="12" t="s">
        <v>442</v>
      </c>
      <c r="D260" s="54"/>
      <c r="E260" s="39" t="str">
        <f>HYPERLINK("https://www.google.ru/search?q=1382134-390&amp;newwindow=1&amp;tbm=isch","Еще фото")</f>
        <v>Еще фото</v>
      </c>
      <c r="F260" s="13"/>
      <c r="G260" s="24" t="s">
        <v>28</v>
      </c>
      <c r="H260" s="24" t="s">
        <v>27</v>
      </c>
      <c r="I260" s="24" t="s">
        <v>28</v>
      </c>
      <c r="J260" s="14" t="s">
        <v>29</v>
      </c>
      <c r="K260" s="15" t="s">
        <v>30</v>
      </c>
      <c r="L260" s="57"/>
      <c r="M260" s="14"/>
      <c r="N260" s="14" t="s">
        <v>125</v>
      </c>
      <c r="O260" s="14"/>
      <c r="P260" s="15" t="s">
        <v>113</v>
      </c>
      <c r="Q260" s="16">
        <v>8099</v>
      </c>
      <c r="R260" s="17">
        <v>40</v>
      </c>
      <c r="S260" s="18">
        <v>5588.3099999999995</v>
      </c>
      <c r="T260" s="19" t="s">
        <v>36</v>
      </c>
      <c r="U260" s="20" t="s">
        <v>37</v>
      </c>
      <c r="V260" s="21" t="s">
        <v>38</v>
      </c>
      <c r="W260" s="22">
        <v>7</v>
      </c>
      <c r="X260" s="23"/>
    </row>
    <row r="261" spans="1:24" s="1" customFormat="1" ht="36.950000000000003" customHeight="1" x14ac:dyDescent="0.3">
      <c r="A261" s="24" t="s">
        <v>23</v>
      </c>
      <c r="B261" s="24" t="s">
        <v>439</v>
      </c>
      <c r="C261" s="12" t="s">
        <v>442</v>
      </c>
      <c r="D261" s="55"/>
      <c r="E261" s="39" t="str">
        <f>HYPERLINK("https://www.google.ru/search?q=1382134-390&amp;newwindow=1&amp;tbm=isch","Еще фото")</f>
        <v>Еще фото</v>
      </c>
      <c r="F261" s="13"/>
      <c r="G261" s="24" t="s">
        <v>28</v>
      </c>
      <c r="H261" s="24" t="s">
        <v>27</v>
      </c>
      <c r="I261" s="24" t="s">
        <v>28</v>
      </c>
      <c r="J261" s="14" t="s">
        <v>29</v>
      </c>
      <c r="K261" s="15" t="s">
        <v>30</v>
      </c>
      <c r="L261" s="58"/>
      <c r="M261" s="14"/>
      <c r="N261" s="14" t="s">
        <v>125</v>
      </c>
      <c r="O261" s="14"/>
      <c r="P261" s="15" t="s">
        <v>113</v>
      </c>
      <c r="Q261" s="16">
        <v>8099</v>
      </c>
      <c r="R261" s="17">
        <v>40</v>
      </c>
      <c r="S261" s="18">
        <v>5588.3099999999995</v>
      </c>
      <c r="T261" s="19" t="s">
        <v>36</v>
      </c>
      <c r="U261" s="20" t="s">
        <v>39</v>
      </c>
      <c r="V261" s="21" t="s">
        <v>40</v>
      </c>
      <c r="W261" s="22">
        <v>8</v>
      </c>
      <c r="X261" s="23"/>
    </row>
    <row r="262" spans="1:24" s="1" customFormat="1" ht="108" customHeight="1" x14ac:dyDescent="0.3">
      <c r="A262" s="11" t="s">
        <v>23</v>
      </c>
      <c r="B262" s="11" t="s">
        <v>443</v>
      </c>
      <c r="C262" s="12" t="s">
        <v>444</v>
      </c>
      <c r="D262" s="25"/>
      <c r="E262" s="39" t="str">
        <f>HYPERLINK("https://www.google.ru/search?q=1383245-246&amp;newwindow=1&amp;tbm=isch","Еще фото")</f>
        <v>Еще фото</v>
      </c>
      <c r="F262" s="13"/>
      <c r="G262" s="11" t="s">
        <v>28</v>
      </c>
      <c r="H262" s="11" t="s">
        <v>27</v>
      </c>
      <c r="I262" s="14" t="s">
        <v>28</v>
      </c>
      <c r="J262" s="14" t="s">
        <v>29</v>
      </c>
      <c r="K262" s="15" t="s">
        <v>30</v>
      </c>
      <c r="L262" s="14" t="s">
        <v>445</v>
      </c>
      <c r="M262" s="14" t="s">
        <v>32</v>
      </c>
      <c r="N262" s="14" t="s">
        <v>249</v>
      </c>
      <c r="O262" s="14"/>
      <c r="P262" s="15" t="s">
        <v>100</v>
      </c>
      <c r="Q262" s="16">
        <v>10699</v>
      </c>
      <c r="R262" s="17">
        <v>40</v>
      </c>
      <c r="S262" s="18">
        <v>7382.3099999999986</v>
      </c>
      <c r="T262" s="19" t="s">
        <v>36</v>
      </c>
      <c r="U262" s="20" t="s">
        <v>37</v>
      </c>
      <c r="V262" s="21" t="s">
        <v>38</v>
      </c>
      <c r="W262" s="22">
        <v>1</v>
      </c>
      <c r="X262" s="23"/>
    </row>
    <row r="263" spans="1:24" s="1" customFormat="1" ht="35.1" customHeight="1" x14ac:dyDescent="0.3">
      <c r="A263" s="11" t="s">
        <v>23</v>
      </c>
      <c r="B263" s="11" t="s">
        <v>446</v>
      </c>
      <c r="C263" s="12" t="s">
        <v>447</v>
      </c>
      <c r="D263" s="53"/>
      <c r="E263" s="39" t="str">
        <f>HYPERLINK("https://www.google.ru/search?q=1383559-001&amp;newwindow=1&amp;tbm=isch","Еще фото")</f>
        <v>Еще фото</v>
      </c>
      <c r="F263" s="13" t="s">
        <v>98</v>
      </c>
      <c r="G263" s="11" t="s">
        <v>63</v>
      </c>
      <c r="H263" s="11" t="s">
        <v>27</v>
      </c>
      <c r="I263" s="14" t="s">
        <v>28</v>
      </c>
      <c r="J263" s="14" t="s">
        <v>29</v>
      </c>
      <c r="K263" s="15" t="s">
        <v>64</v>
      </c>
      <c r="L263" s="56" t="s">
        <v>448</v>
      </c>
      <c r="M263" s="14" t="s">
        <v>66</v>
      </c>
      <c r="N263" s="14" t="s">
        <v>33</v>
      </c>
      <c r="O263" s="14"/>
      <c r="P263" s="15" t="s">
        <v>100</v>
      </c>
      <c r="Q263" s="16">
        <v>5199</v>
      </c>
      <c r="R263" s="17">
        <v>40</v>
      </c>
      <c r="S263" s="18">
        <v>3587.31</v>
      </c>
      <c r="T263" s="19" t="s">
        <v>36</v>
      </c>
      <c r="U263" s="20" t="s">
        <v>69</v>
      </c>
      <c r="V263" s="21" t="s">
        <v>70</v>
      </c>
      <c r="W263" s="22">
        <v>2</v>
      </c>
      <c r="X263" s="23"/>
    </row>
    <row r="264" spans="1:24" s="1" customFormat="1" ht="35.1" customHeight="1" x14ac:dyDescent="0.3">
      <c r="A264" s="24" t="s">
        <v>23</v>
      </c>
      <c r="B264" s="24" t="s">
        <v>446</v>
      </c>
      <c r="C264" s="12" t="s">
        <v>447</v>
      </c>
      <c r="D264" s="54"/>
      <c r="E264" s="39" t="str">
        <f>HYPERLINK("https://www.google.ru/search?q=1383559-001&amp;newwindow=1&amp;tbm=isch","Еще фото")</f>
        <v>Еще фото</v>
      </c>
      <c r="F264" s="13" t="s">
        <v>98</v>
      </c>
      <c r="G264" s="24" t="s">
        <v>63</v>
      </c>
      <c r="H264" s="24" t="s">
        <v>27</v>
      </c>
      <c r="I264" s="24" t="s">
        <v>28</v>
      </c>
      <c r="J264" s="14" t="s">
        <v>29</v>
      </c>
      <c r="K264" s="15" t="s">
        <v>64</v>
      </c>
      <c r="L264" s="57"/>
      <c r="M264" s="14" t="s">
        <v>66</v>
      </c>
      <c r="N264" s="14" t="s">
        <v>33</v>
      </c>
      <c r="O264" s="14"/>
      <c r="P264" s="15" t="s">
        <v>100</v>
      </c>
      <c r="Q264" s="16">
        <v>5199</v>
      </c>
      <c r="R264" s="17">
        <v>40</v>
      </c>
      <c r="S264" s="18">
        <v>3587.31</v>
      </c>
      <c r="T264" s="19" t="s">
        <v>36</v>
      </c>
      <c r="U264" s="20" t="s">
        <v>37</v>
      </c>
      <c r="V264" s="21" t="s">
        <v>86</v>
      </c>
      <c r="W264" s="22">
        <v>1</v>
      </c>
      <c r="X264" s="23"/>
    </row>
    <row r="265" spans="1:24" s="1" customFormat="1" ht="36.950000000000003" customHeight="1" x14ac:dyDescent="0.3">
      <c r="A265" s="24" t="s">
        <v>23</v>
      </c>
      <c r="B265" s="24" t="s">
        <v>446</v>
      </c>
      <c r="C265" s="12" t="s">
        <v>447</v>
      </c>
      <c r="D265" s="55"/>
      <c r="E265" s="39" t="str">
        <f>HYPERLINK("https://www.google.ru/search?q=1383559-001&amp;newwindow=1&amp;tbm=isch","Еще фото")</f>
        <v>Еще фото</v>
      </c>
      <c r="F265" s="13" t="s">
        <v>98</v>
      </c>
      <c r="G265" s="24" t="s">
        <v>63</v>
      </c>
      <c r="H265" s="24" t="s">
        <v>27</v>
      </c>
      <c r="I265" s="24" t="s">
        <v>28</v>
      </c>
      <c r="J265" s="14" t="s">
        <v>29</v>
      </c>
      <c r="K265" s="15" t="s">
        <v>64</v>
      </c>
      <c r="L265" s="58"/>
      <c r="M265" s="14" t="s">
        <v>66</v>
      </c>
      <c r="N265" s="14" t="s">
        <v>33</v>
      </c>
      <c r="O265" s="14"/>
      <c r="P265" s="15" t="s">
        <v>100</v>
      </c>
      <c r="Q265" s="16">
        <v>5199</v>
      </c>
      <c r="R265" s="17">
        <v>40</v>
      </c>
      <c r="S265" s="18">
        <v>3587.31</v>
      </c>
      <c r="T265" s="19" t="s">
        <v>36</v>
      </c>
      <c r="U265" s="20" t="s">
        <v>39</v>
      </c>
      <c r="V265" s="21" t="s">
        <v>38</v>
      </c>
      <c r="W265" s="22">
        <v>1</v>
      </c>
      <c r="X265" s="23"/>
    </row>
    <row r="266" spans="1:24" s="1" customFormat="1" ht="51.95" customHeight="1" x14ac:dyDescent="0.3">
      <c r="A266" s="11" t="s">
        <v>23</v>
      </c>
      <c r="B266" s="11" t="s">
        <v>446</v>
      </c>
      <c r="C266" s="12" t="s">
        <v>449</v>
      </c>
      <c r="D266" s="59"/>
      <c r="E266" s="39" t="str">
        <f>HYPERLINK("https://www.google.ru/search?q=1383559-015&amp;newwindow=1&amp;tbm=isch","Еще фото")</f>
        <v>Еще фото</v>
      </c>
      <c r="F266" s="13"/>
      <c r="G266" s="11" t="s">
        <v>63</v>
      </c>
      <c r="H266" s="11" t="s">
        <v>27</v>
      </c>
      <c r="I266" s="14" t="s">
        <v>28</v>
      </c>
      <c r="J266" s="14" t="s">
        <v>29</v>
      </c>
      <c r="K266" s="15" t="s">
        <v>64</v>
      </c>
      <c r="L266" s="56" t="s">
        <v>450</v>
      </c>
      <c r="M266" s="14"/>
      <c r="N266" s="14" t="s">
        <v>84</v>
      </c>
      <c r="O266" s="14"/>
      <c r="P266" s="15" t="s">
        <v>100</v>
      </c>
      <c r="Q266" s="16">
        <v>5599</v>
      </c>
      <c r="R266" s="17">
        <v>40</v>
      </c>
      <c r="S266" s="18">
        <v>3863.31</v>
      </c>
      <c r="T266" s="19" t="s">
        <v>36</v>
      </c>
      <c r="U266" s="20" t="s">
        <v>41</v>
      </c>
      <c r="V266" s="21" t="s">
        <v>40</v>
      </c>
      <c r="W266" s="22">
        <v>1</v>
      </c>
      <c r="X266" s="23"/>
    </row>
    <row r="267" spans="1:24" s="1" customFormat="1" ht="60.95" customHeight="1" x14ac:dyDescent="0.3">
      <c r="A267" s="24" t="s">
        <v>23</v>
      </c>
      <c r="B267" s="24" t="s">
        <v>446</v>
      </c>
      <c r="C267" s="12" t="s">
        <v>449</v>
      </c>
      <c r="D267" s="60"/>
      <c r="E267" s="39" t="str">
        <f>HYPERLINK("https://www.google.ru/search?q=1383559-015&amp;newwindow=1&amp;tbm=isch","Еще фото")</f>
        <v>Еще фото</v>
      </c>
      <c r="F267" s="13"/>
      <c r="G267" s="24" t="s">
        <v>63</v>
      </c>
      <c r="H267" s="24" t="s">
        <v>27</v>
      </c>
      <c r="I267" s="24" t="s">
        <v>28</v>
      </c>
      <c r="J267" s="14" t="s">
        <v>29</v>
      </c>
      <c r="K267" s="15" t="s">
        <v>64</v>
      </c>
      <c r="L267" s="58"/>
      <c r="M267" s="14"/>
      <c r="N267" s="14" t="s">
        <v>84</v>
      </c>
      <c r="O267" s="14"/>
      <c r="P267" s="15" t="s">
        <v>100</v>
      </c>
      <c r="Q267" s="16">
        <v>5599</v>
      </c>
      <c r="R267" s="17">
        <v>40</v>
      </c>
      <c r="S267" s="18">
        <v>3863.31</v>
      </c>
      <c r="T267" s="19" t="s">
        <v>36</v>
      </c>
      <c r="U267" s="20" t="s">
        <v>43</v>
      </c>
      <c r="V267" s="21" t="s">
        <v>42</v>
      </c>
      <c r="W267" s="22">
        <v>1</v>
      </c>
      <c r="X267" s="23"/>
    </row>
    <row r="268" spans="1:24" s="1" customFormat="1" ht="26.1" customHeight="1" x14ac:dyDescent="0.3">
      <c r="A268" s="11" t="s">
        <v>23</v>
      </c>
      <c r="B268" s="11" t="s">
        <v>446</v>
      </c>
      <c r="C268" s="12" t="s">
        <v>451</v>
      </c>
      <c r="D268" s="53"/>
      <c r="E268" s="39" t="str">
        <f>HYPERLINK("https://www.google.ru/search?q=1383559-572&amp;newwindow=1&amp;tbm=isch","Еще фото")</f>
        <v>Еще фото</v>
      </c>
      <c r="F268" s="13"/>
      <c r="G268" s="11" t="s">
        <v>63</v>
      </c>
      <c r="H268" s="11" t="s">
        <v>27</v>
      </c>
      <c r="I268" s="14" t="s">
        <v>28</v>
      </c>
      <c r="J268" s="14" t="s">
        <v>29</v>
      </c>
      <c r="K268" s="15" t="s">
        <v>64</v>
      </c>
      <c r="L268" s="56" t="s">
        <v>450</v>
      </c>
      <c r="M268" s="14"/>
      <c r="N268" s="14" t="s">
        <v>57</v>
      </c>
      <c r="O268" s="14"/>
      <c r="P268" s="15" t="s">
        <v>100</v>
      </c>
      <c r="Q268" s="16">
        <v>5599</v>
      </c>
      <c r="R268" s="17">
        <v>40</v>
      </c>
      <c r="S268" s="18">
        <v>3863.31</v>
      </c>
      <c r="T268" s="19" t="s">
        <v>36</v>
      </c>
      <c r="U268" s="20" t="s">
        <v>69</v>
      </c>
      <c r="V268" s="21" t="s">
        <v>70</v>
      </c>
      <c r="W268" s="22">
        <v>3</v>
      </c>
      <c r="X268" s="23"/>
    </row>
    <row r="269" spans="1:24" s="1" customFormat="1" ht="26.1" customHeight="1" x14ac:dyDescent="0.3">
      <c r="A269" s="24" t="s">
        <v>23</v>
      </c>
      <c r="B269" s="24" t="s">
        <v>446</v>
      </c>
      <c r="C269" s="12" t="s">
        <v>451</v>
      </c>
      <c r="D269" s="54"/>
      <c r="E269" s="39" t="str">
        <f>HYPERLINK("https://www.google.ru/search?q=1383559-572&amp;newwindow=1&amp;tbm=isch","Еще фото")</f>
        <v>Еще фото</v>
      </c>
      <c r="F269" s="13"/>
      <c r="G269" s="24" t="s">
        <v>63</v>
      </c>
      <c r="H269" s="24" t="s">
        <v>27</v>
      </c>
      <c r="I269" s="24" t="s">
        <v>28</v>
      </c>
      <c r="J269" s="14" t="s">
        <v>29</v>
      </c>
      <c r="K269" s="15" t="s">
        <v>64</v>
      </c>
      <c r="L269" s="57"/>
      <c r="M269" s="14"/>
      <c r="N269" s="14" t="s">
        <v>57</v>
      </c>
      <c r="O269" s="14"/>
      <c r="P269" s="15" t="s">
        <v>100</v>
      </c>
      <c r="Q269" s="16">
        <v>5599</v>
      </c>
      <c r="R269" s="17">
        <v>40</v>
      </c>
      <c r="S269" s="18">
        <v>3863.31</v>
      </c>
      <c r="T269" s="19" t="s">
        <v>36</v>
      </c>
      <c r="U269" s="20" t="s">
        <v>37</v>
      </c>
      <c r="V269" s="21" t="s">
        <v>86</v>
      </c>
      <c r="W269" s="22">
        <v>1</v>
      </c>
      <c r="X269" s="23"/>
    </row>
    <row r="270" spans="1:24" s="1" customFormat="1" ht="26.1" customHeight="1" x14ac:dyDescent="0.3">
      <c r="A270" s="24" t="s">
        <v>23</v>
      </c>
      <c r="B270" s="24" t="s">
        <v>446</v>
      </c>
      <c r="C270" s="12" t="s">
        <v>451</v>
      </c>
      <c r="D270" s="54"/>
      <c r="E270" s="39" t="str">
        <f>HYPERLINK("https://www.google.ru/search?q=1383559-572&amp;newwindow=1&amp;tbm=isch","Еще фото")</f>
        <v>Еще фото</v>
      </c>
      <c r="F270" s="13"/>
      <c r="G270" s="24" t="s">
        <v>63</v>
      </c>
      <c r="H270" s="24" t="s">
        <v>27</v>
      </c>
      <c r="I270" s="24" t="s">
        <v>28</v>
      </c>
      <c r="J270" s="14" t="s">
        <v>29</v>
      </c>
      <c r="K270" s="15" t="s">
        <v>64</v>
      </c>
      <c r="L270" s="57"/>
      <c r="M270" s="14"/>
      <c r="N270" s="14" t="s">
        <v>57</v>
      </c>
      <c r="O270" s="14"/>
      <c r="P270" s="15" t="s">
        <v>100</v>
      </c>
      <c r="Q270" s="16">
        <v>5599</v>
      </c>
      <c r="R270" s="17">
        <v>40</v>
      </c>
      <c r="S270" s="18">
        <v>3863.31</v>
      </c>
      <c r="T270" s="19" t="s">
        <v>36</v>
      </c>
      <c r="U270" s="20" t="s">
        <v>41</v>
      </c>
      <c r="V270" s="21" t="s">
        <v>40</v>
      </c>
      <c r="W270" s="22">
        <v>1</v>
      </c>
      <c r="X270" s="23"/>
    </row>
    <row r="271" spans="1:24" s="1" customFormat="1" ht="26.1" customHeight="1" x14ac:dyDescent="0.3">
      <c r="A271" s="24" t="s">
        <v>23</v>
      </c>
      <c r="B271" s="24" t="s">
        <v>446</v>
      </c>
      <c r="C271" s="12" t="s">
        <v>451</v>
      </c>
      <c r="D271" s="55"/>
      <c r="E271" s="39" t="str">
        <f>HYPERLINK("https://www.google.ru/search?q=1383559-572&amp;newwindow=1&amp;tbm=isch","Еще фото")</f>
        <v>Еще фото</v>
      </c>
      <c r="F271" s="13"/>
      <c r="G271" s="24" t="s">
        <v>63</v>
      </c>
      <c r="H271" s="24" t="s">
        <v>27</v>
      </c>
      <c r="I271" s="24" t="s">
        <v>28</v>
      </c>
      <c r="J271" s="14" t="s">
        <v>29</v>
      </c>
      <c r="K271" s="15" t="s">
        <v>64</v>
      </c>
      <c r="L271" s="58"/>
      <c r="M271" s="14"/>
      <c r="N271" s="14" t="s">
        <v>57</v>
      </c>
      <c r="O271" s="14"/>
      <c r="P271" s="15" t="s">
        <v>100</v>
      </c>
      <c r="Q271" s="16">
        <v>5599</v>
      </c>
      <c r="R271" s="17">
        <v>40</v>
      </c>
      <c r="S271" s="18">
        <v>3863.31</v>
      </c>
      <c r="T271" s="19" t="s">
        <v>36</v>
      </c>
      <c r="U271" s="20" t="s">
        <v>43</v>
      </c>
      <c r="V271" s="21" t="s">
        <v>42</v>
      </c>
      <c r="W271" s="22">
        <v>1</v>
      </c>
      <c r="X271" s="23"/>
    </row>
    <row r="272" spans="1:24" s="1" customFormat="1" ht="51.95" customHeight="1" x14ac:dyDescent="0.3">
      <c r="A272" s="11" t="s">
        <v>23</v>
      </c>
      <c r="B272" s="11" t="s">
        <v>452</v>
      </c>
      <c r="C272" s="12" t="s">
        <v>453</v>
      </c>
      <c r="D272" s="59"/>
      <c r="E272" s="39" t="str">
        <f>HYPERLINK("https://www.google.ru/search?q=1383559-681&amp;newwindow=1&amp;tbm=isch","Еще фото")</f>
        <v>Еще фото</v>
      </c>
      <c r="F272" s="13"/>
      <c r="G272" s="11" t="s">
        <v>63</v>
      </c>
      <c r="H272" s="11" t="s">
        <v>27</v>
      </c>
      <c r="I272" s="14" t="s">
        <v>28</v>
      </c>
      <c r="J272" s="14" t="s">
        <v>29</v>
      </c>
      <c r="K272" s="15" t="s">
        <v>64</v>
      </c>
      <c r="L272" s="56" t="s">
        <v>448</v>
      </c>
      <c r="M272" s="14"/>
      <c r="N272" s="14" t="s">
        <v>57</v>
      </c>
      <c r="O272" s="14"/>
      <c r="P272" s="15" t="s">
        <v>100</v>
      </c>
      <c r="Q272" s="16">
        <v>3799</v>
      </c>
      <c r="R272" s="17">
        <v>40</v>
      </c>
      <c r="S272" s="18">
        <v>2621.31</v>
      </c>
      <c r="T272" s="19" t="s">
        <v>36</v>
      </c>
      <c r="U272" s="20" t="s">
        <v>69</v>
      </c>
      <c r="V272" s="21" t="s">
        <v>70</v>
      </c>
      <c r="W272" s="22">
        <v>1</v>
      </c>
      <c r="X272" s="23"/>
    </row>
    <row r="273" spans="1:24" s="1" customFormat="1" ht="60.95" customHeight="1" x14ac:dyDescent="0.3">
      <c r="A273" s="24" t="s">
        <v>23</v>
      </c>
      <c r="B273" s="24" t="s">
        <v>452</v>
      </c>
      <c r="C273" s="12" t="s">
        <v>453</v>
      </c>
      <c r="D273" s="60"/>
      <c r="E273" s="39" t="str">
        <f>HYPERLINK("https://www.google.ru/search?q=1383559-681&amp;newwindow=1&amp;tbm=isch","Еще фото")</f>
        <v>Еще фото</v>
      </c>
      <c r="F273" s="13"/>
      <c r="G273" s="24" t="s">
        <v>63</v>
      </c>
      <c r="H273" s="24" t="s">
        <v>27</v>
      </c>
      <c r="I273" s="24" t="s">
        <v>28</v>
      </c>
      <c r="J273" s="14" t="s">
        <v>29</v>
      </c>
      <c r="K273" s="15" t="s">
        <v>64</v>
      </c>
      <c r="L273" s="58"/>
      <c r="M273" s="14"/>
      <c r="N273" s="14" t="s">
        <v>57</v>
      </c>
      <c r="O273" s="14"/>
      <c r="P273" s="15" t="s">
        <v>100</v>
      </c>
      <c r="Q273" s="16">
        <v>3799</v>
      </c>
      <c r="R273" s="17">
        <v>40</v>
      </c>
      <c r="S273" s="18">
        <v>2621.31</v>
      </c>
      <c r="T273" s="19" t="s">
        <v>36</v>
      </c>
      <c r="U273" s="20" t="s">
        <v>41</v>
      </c>
      <c r="V273" s="21" t="s">
        <v>40</v>
      </c>
      <c r="W273" s="22">
        <v>3</v>
      </c>
      <c r="X273" s="23"/>
    </row>
    <row r="274" spans="1:24" s="1" customFormat="1" ht="26.1" customHeight="1" x14ac:dyDescent="0.3">
      <c r="A274" s="11" t="s">
        <v>23</v>
      </c>
      <c r="B274" s="11" t="s">
        <v>452</v>
      </c>
      <c r="C274" s="12" t="s">
        <v>454</v>
      </c>
      <c r="D274" s="53"/>
      <c r="E274" s="39" t="str">
        <f>HYPERLINK("https://www.google.ru/search?q=1383559-713&amp;newwindow=1&amp;tbm=isch","Еще фото")</f>
        <v>Еще фото</v>
      </c>
      <c r="F274" s="13"/>
      <c r="G274" s="11" t="s">
        <v>63</v>
      </c>
      <c r="H274" s="11" t="s">
        <v>27</v>
      </c>
      <c r="I274" s="14" t="s">
        <v>28</v>
      </c>
      <c r="J274" s="14" t="s">
        <v>29</v>
      </c>
      <c r="K274" s="15" t="s">
        <v>64</v>
      </c>
      <c r="L274" s="56" t="s">
        <v>448</v>
      </c>
      <c r="M274" s="14"/>
      <c r="N274" s="14" t="s">
        <v>140</v>
      </c>
      <c r="O274" s="14"/>
      <c r="P274" s="15" t="s">
        <v>100</v>
      </c>
      <c r="Q274" s="16">
        <v>5199</v>
      </c>
      <c r="R274" s="17">
        <v>40</v>
      </c>
      <c r="S274" s="18">
        <v>3587.31</v>
      </c>
      <c r="T274" s="19" t="s">
        <v>36</v>
      </c>
      <c r="U274" s="20" t="s">
        <v>69</v>
      </c>
      <c r="V274" s="21" t="s">
        <v>70</v>
      </c>
      <c r="W274" s="22">
        <v>1</v>
      </c>
      <c r="X274" s="23"/>
    </row>
    <row r="275" spans="1:24" s="1" customFormat="1" ht="26.1" customHeight="1" x14ac:dyDescent="0.3">
      <c r="A275" s="24" t="s">
        <v>23</v>
      </c>
      <c r="B275" s="24" t="s">
        <v>452</v>
      </c>
      <c r="C275" s="12" t="s">
        <v>454</v>
      </c>
      <c r="D275" s="54"/>
      <c r="E275" s="39" t="str">
        <f>HYPERLINK("https://www.google.ru/search?q=1383559-713&amp;newwindow=1&amp;tbm=isch","Еще фото")</f>
        <v>Еще фото</v>
      </c>
      <c r="F275" s="13"/>
      <c r="G275" s="24" t="s">
        <v>63</v>
      </c>
      <c r="H275" s="24" t="s">
        <v>27</v>
      </c>
      <c r="I275" s="24" t="s">
        <v>28</v>
      </c>
      <c r="J275" s="14" t="s">
        <v>29</v>
      </c>
      <c r="K275" s="15" t="s">
        <v>64</v>
      </c>
      <c r="L275" s="57"/>
      <c r="M275" s="14"/>
      <c r="N275" s="14" t="s">
        <v>140</v>
      </c>
      <c r="O275" s="14"/>
      <c r="P275" s="15" t="s">
        <v>100</v>
      </c>
      <c r="Q275" s="16">
        <v>5199</v>
      </c>
      <c r="R275" s="17">
        <v>40</v>
      </c>
      <c r="S275" s="18">
        <v>3587.31</v>
      </c>
      <c r="T275" s="19" t="s">
        <v>36</v>
      </c>
      <c r="U275" s="20" t="s">
        <v>39</v>
      </c>
      <c r="V275" s="21" t="s">
        <v>38</v>
      </c>
      <c r="W275" s="22">
        <v>2</v>
      </c>
      <c r="X275" s="23"/>
    </row>
    <row r="276" spans="1:24" s="1" customFormat="1" ht="26.1" customHeight="1" x14ac:dyDescent="0.3">
      <c r="A276" s="24" t="s">
        <v>23</v>
      </c>
      <c r="B276" s="24" t="s">
        <v>452</v>
      </c>
      <c r="C276" s="12" t="s">
        <v>454</v>
      </c>
      <c r="D276" s="54"/>
      <c r="E276" s="39" t="str">
        <f>HYPERLINK("https://www.google.ru/search?q=1383559-713&amp;newwindow=1&amp;tbm=isch","Еще фото")</f>
        <v>Еще фото</v>
      </c>
      <c r="F276" s="13"/>
      <c r="G276" s="24" t="s">
        <v>63</v>
      </c>
      <c r="H276" s="24" t="s">
        <v>27</v>
      </c>
      <c r="I276" s="24" t="s">
        <v>28</v>
      </c>
      <c r="J276" s="14" t="s">
        <v>29</v>
      </c>
      <c r="K276" s="15" t="s">
        <v>64</v>
      </c>
      <c r="L276" s="57"/>
      <c r="M276" s="14"/>
      <c r="N276" s="14" t="s">
        <v>140</v>
      </c>
      <c r="O276" s="14"/>
      <c r="P276" s="15" t="s">
        <v>100</v>
      </c>
      <c r="Q276" s="16">
        <v>5199</v>
      </c>
      <c r="R276" s="17">
        <v>40</v>
      </c>
      <c r="S276" s="18">
        <v>3587.31</v>
      </c>
      <c r="T276" s="19" t="s">
        <v>36</v>
      </c>
      <c r="U276" s="20" t="s">
        <v>41</v>
      </c>
      <c r="V276" s="21" t="s">
        <v>40</v>
      </c>
      <c r="W276" s="22">
        <v>1</v>
      </c>
      <c r="X276" s="23"/>
    </row>
    <row r="277" spans="1:24" s="1" customFormat="1" ht="26.1" customHeight="1" x14ac:dyDescent="0.3">
      <c r="A277" s="24" t="s">
        <v>23</v>
      </c>
      <c r="B277" s="24" t="s">
        <v>452</v>
      </c>
      <c r="C277" s="12" t="s">
        <v>454</v>
      </c>
      <c r="D277" s="55"/>
      <c r="E277" s="39" t="str">
        <f>HYPERLINK("https://www.google.ru/search?q=1383559-713&amp;newwindow=1&amp;tbm=isch","Еще фото")</f>
        <v>Еще фото</v>
      </c>
      <c r="F277" s="13"/>
      <c r="G277" s="24" t="s">
        <v>63</v>
      </c>
      <c r="H277" s="24" t="s">
        <v>27</v>
      </c>
      <c r="I277" s="24" t="s">
        <v>28</v>
      </c>
      <c r="J277" s="14" t="s">
        <v>29</v>
      </c>
      <c r="K277" s="15" t="s">
        <v>64</v>
      </c>
      <c r="L277" s="58"/>
      <c r="M277" s="14"/>
      <c r="N277" s="14" t="s">
        <v>140</v>
      </c>
      <c r="O277" s="14"/>
      <c r="P277" s="15" t="s">
        <v>100</v>
      </c>
      <c r="Q277" s="16">
        <v>5199</v>
      </c>
      <c r="R277" s="17">
        <v>40</v>
      </c>
      <c r="S277" s="18">
        <v>3587.31</v>
      </c>
      <c r="T277" s="19" t="s">
        <v>36</v>
      </c>
      <c r="U277" s="20" t="s">
        <v>43</v>
      </c>
      <c r="V277" s="21" t="s">
        <v>42</v>
      </c>
      <c r="W277" s="22">
        <v>1</v>
      </c>
      <c r="X277" s="23"/>
    </row>
    <row r="278" spans="1:24" s="1" customFormat="1" ht="108" customHeight="1" x14ac:dyDescent="0.3">
      <c r="A278" s="11" t="s">
        <v>23</v>
      </c>
      <c r="B278" s="11" t="s">
        <v>455</v>
      </c>
      <c r="C278" s="12" t="s">
        <v>456</v>
      </c>
      <c r="D278" s="25"/>
      <c r="E278" s="39" t="str">
        <f>HYPERLINK("https://www.google.ru/search?q=1386407-002&amp;newwindow=1&amp;tbm=isch","Еще фото")</f>
        <v>Еще фото</v>
      </c>
      <c r="F278" s="13"/>
      <c r="G278" s="11" t="s">
        <v>63</v>
      </c>
      <c r="H278" s="11" t="s">
        <v>27</v>
      </c>
      <c r="I278" s="14" t="s">
        <v>28</v>
      </c>
      <c r="J278" s="14" t="s">
        <v>29</v>
      </c>
      <c r="K278" s="15" t="s">
        <v>64</v>
      </c>
      <c r="L278" s="14" t="s">
        <v>457</v>
      </c>
      <c r="M278" s="14"/>
      <c r="N278" s="14" t="s">
        <v>33</v>
      </c>
      <c r="O278" s="14"/>
      <c r="P278" s="15" t="s">
        <v>100</v>
      </c>
      <c r="Q278" s="16">
        <v>5499</v>
      </c>
      <c r="R278" s="17">
        <v>40</v>
      </c>
      <c r="S278" s="18">
        <v>3794.31</v>
      </c>
      <c r="T278" s="19" t="s">
        <v>36</v>
      </c>
      <c r="U278" s="20" t="s">
        <v>69</v>
      </c>
      <c r="V278" s="21" t="s">
        <v>70</v>
      </c>
      <c r="W278" s="22">
        <v>8</v>
      </c>
      <c r="X278" s="23"/>
    </row>
    <row r="279" spans="1:24" s="1" customFormat="1" ht="108" customHeight="1" x14ac:dyDescent="0.3">
      <c r="A279" s="11" t="s">
        <v>23</v>
      </c>
      <c r="B279" s="11" t="s">
        <v>106</v>
      </c>
      <c r="C279" s="12" t="s">
        <v>458</v>
      </c>
      <c r="D279" s="25"/>
      <c r="E279" s="39" t="str">
        <f>HYPERLINK("https://www.google.ru/search?q=1386482-001&amp;newwindow=1&amp;tbm=isch","Еще фото")</f>
        <v>Еще фото</v>
      </c>
      <c r="F279" s="13"/>
      <c r="G279" s="11" t="s">
        <v>63</v>
      </c>
      <c r="H279" s="11" t="s">
        <v>27</v>
      </c>
      <c r="I279" s="14" t="s">
        <v>28</v>
      </c>
      <c r="J279" s="14" t="s">
        <v>29</v>
      </c>
      <c r="K279" s="15" t="s">
        <v>64</v>
      </c>
      <c r="L279" s="14" t="s">
        <v>108</v>
      </c>
      <c r="M279" s="14"/>
      <c r="N279" s="14" t="s">
        <v>33</v>
      </c>
      <c r="O279" s="14"/>
      <c r="P279" s="15" t="s">
        <v>109</v>
      </c>
      <c r="Q279" s="16">
        <v>4699</v>
      </c>
      <c r="R279" s="17">
        <v>40</v>
      </c>
      <c r="S279" s="18">
        <v>3242.31</v>
      </c>
      <c r="T279" s="19" t="s">
        <v>36</v>
      </c>
      <c r="U279" s="20" t="s">
        <v>69</v>
      </c>
      <c r="V279" s="21" t="s">
        <v>70</v>
      </c>
      <c r="W279" s="22">
        <v>11</v>
      </c>
      <c r="X279" s="23"/>
    </row>
    <row r="280" spans="1:24" s="1" customFormat="1" ht="108" customHeight="1" x14ac:dyDescent="0.3">
      <c r="A280" s="11" t="s">
        <v>23</v>
      </c>
      <c r="B280" s="11" t="s">
        <v>276</v>
      </c>
      <c r="C280" s="12" t="s">
        <v>459</v>
      </c>
      <c r="D280" s="25"/>
      <c r="E280" s="39" t="str">
        <f>HYPERLINK("https://www.google.ru/search?q=1386557-338&amp;newwindow=1&amp;tbm=isch","Еще фото")</f>
        <v>Еще фото</v>
      </c>
      <c r="F280" s="13"/>
      <c r="G280" s="11" t="s">
        <v>28</v>
      </c>
      <c r="H280" s="11" t="s">
        <v>27</v>
      </c>
      <c r="I280" s="14" t="s">
        <v>28</v>
      </c>
      <c r="J280" s="14" t="s">
        <v>47</v>
      </c>
      <c r="K280" s="15" t="s">
        <v>30</v>
      </c>
      <c r="L280" s="14" t="s">
        <v>278</v>
      </c>
      <c r="M280" s="14"/>
      <c r="N280" s="14" t="s">
        <v>125</v>
      </c>
      <c r="O280" s="14"/>
      <c r="P280" s="15" t="s">
        <v>100</v>
      </c>
      <c r="Q280" s="16">
        <v>6799</v>
      </c>
      <c r="R280" s="17">
        <v>40</v>
      </c>
      <c r="S280" s="18">
        <v>4691.3099999999995</v>
      </c>
      <c r="T280" s="19" t="s">
        <v>36</v>
      </c>
      <c r="U280" s="20" t="s">
        <v>39</v>
      </c>
      <c r="V280" s="21" t="s">
        <v>40</v>
      </c>
      <c r="W280" s="22">
        <v>1</v>
      </c>
      <c r="X280" s="23"/>
    </row>
    <row r="281" spans="1:24" s="1" customFormat="1" ht="108" customHeight="1" x14ac:dyDescent="0.3">
      <c r="A281" s="11" t="s">
        <v>23</v>
      </c>
      <c r="B281" s="11" t="s">
        <v>146</v>
      </c>
      <c r="C281" s="12" t="s">
        <v>460</v>
      </c>
      <c r="D281" s="25"/>
      <c r="E281" s="39" t="str">
        <f>HYPERLINK("https://www.google.ru/search?q=1386558-338&amp;newwindow=1&amp;tbm=isch","Еще фото")</f>
        <v>Еще фото</v>
      </c>
      <c r="F281" s="13"/>
      <c r="G281" s="11" t="s">
        <v>28</v>
      </c>
      <c r="H281" s="11" t="s">
        <v>27</v>
      </c>
      <c r="I281" s="14" t="s">
        <v>28</v>
      </c>
      <c r="J281" s="14" t="s">
        <v>47</v>
      </c>
      <c r="K281" s="15" t="s">
        <v>30</v>
      </c>
      <c r="L281" s="14" t="s">
        <v>148</v>
      </c>
      <c r="M281" s="14"/>
      <c r="N281" s="14" t="s">
        <v>125</v>
      </c>
      <c r="O281" s="14"/>
      <c r="P281" s="15" t="s">
        <v>100</v>
      </c>
      <c r="Q281" s="16">
        <v>7699</v>
      </c>
      <c r="R281" s="17">
        <v>40</v>
      </c>
      <c r="S281" s="18">
        <v>5312.3099999999995</v>
      </c>
      <c r="T281" s="19" t="s">
        <v>36</v>
      </c>
      <c r="U281" s="20" t="s">
        <v>39</v>
      </c>
      <c r="V281" s="21" t="s">
        <v>40</v>
      </c>
      <c r="W281" s="22">
        <v>2</v>
      </c>
      <c r="X281" s="23"/>
    </row>
    <row r="282" spans="1:24" s="1" customFormat="1" ht="35.1" customHeight="1" x14ac:dyDescent="0.3">
      <c r="A282" s="11" t="s">
        <v>23</v>
      </c>
      <c r="B282" s="11" t="s">
        <v>461</v>
      </c>
      <c r="C282" s="12" t="s">
        <v>462</v>
      </c>
      <c r="D282" s="53"/>
      <c r="E282" s="39" t="str">
        <f>HYPERLINK("https://www.google.ru/search?q=1386903-707&amp;newwindow=1&amp;tbm=isch","Еще фото")</f>
        <v>Еще фото</v>
      </c>
      <c r="F282" s="13"/>
      <c r="G282" s="11" t="s">
        <v>28</v>
      </c>
      <c r="H282" s="11" t="s">
        <v>27</v>
      </c>
      <c r="I282" s="14" t="s">
        <v>28</v>
      </c>
      <c r="J282" s="14" t="s">
        <v>29</v>
      </c>
      <c r="K282" s="15" t="s">
        <v>30</v>
      </c>
      <c r="L282" s="56" t="s">
        <v>463</v>
      </c>
      <c r="M282" s="14"/>
      <c r="N282" s="14" t="s">
        <v>249</v>
      </c>
      <c r="O282" s="14"/>
      <c r="P282" s="15" t="s">
        <v>113</v>
      </c>
      <c r="Q282" s="16">
        <v>13699</v>
      </c>
      <c r="R282" s="17">
        <v>40</v>
      </c>
      <c r="S282" s="18">
        <v>9452.31</v>
      </c>
      <c r="T282" s="19" t="s">
        <v>36</v>
      </c>
      <c r="U282" s="20" t="s">
        <v>37</v>
      </c>
      <c r="V282" s="21" t="s">
        <v>38</v>
      </c>
      <c r="W282" s="22">
        <v>4</v>
      </c>
      <c r="X282" s="23"/>
    </row>
    <row r="283" spans="1:24" s="1" customFormat="1" ht="35.1" customHeight="1" x14ac:dyDescent="0.3">
      <c r="A283" s="24" t="s">
        <v>23</v>
      </c>
      <c r="B283" s="24" t="s">
        <v>461</v>
      </c>
      <c r="C283" s="12" t="s">
        <v>462</v>
      </c>
      <c r="D283" s="54"/>
      <c r="E283" s="39" t="str">
        <f>HYPERLINK("https://www.google.ru/search?q=1386903-707&amp;newwindow=1&amp;tbm=isch","Еще фото")</f>
        <v>Еще фото</v>
      </c>
      <c r="F283" s="13"/>
      <c r="G283" s="24" t="s">
        <v>28</v>
      </c>
      <c r="H283" s="24" t="s">
        <v>27</v>
      </c>
      <c r="I283" s="24" t="s">
        <v>28</v>
      </c>
      <c r="J283" s="14" t="s">
        <v>29</v>
      </c>
      <c r="K283" s="15" t="s">
        <v>30</v>
      </c>
      <c r="L283" s="57"/>
      <c r="M283" s="14"/>
      <c r="N283" s="14" t="s">
        <v>249</v>
      </c>
      <c r="O283" s="14"/>
      <c r="P283" s="15" t="s">
        <v>113</v>
      </c>
      <c r="Q283" s="16">
        <v>13699</v>
      </c>
      <c r="R283" s="17">
        <v>40</v>
      </c>
      <c r="S283" s="18">
        <v>9452.31</v>
      </c>
      <c r="T283" s="19" t="s">
        <v>36</v>
      </c>
      <c r="U283" s="20" t="s">
        <v>39</v>
      </c>
      <c r="V283" s="21" t="s">
        <v>40</v>
      </c>
      <c r="W283" s="22">
        <v>2</v>
      </c>
      <c r="X283" s="23"/>
    </row>
    <row r="284" spans="1:24" s="1" customFormat="1" ht="36.950000000000003" customHeight="1" x14ac:dyDescent="0.3">
      <c r="A284" s="24" t="s">
        <v>23</v>
      </c>
      <c r="B284" s="24" t="s">
        <v>461</v>
      </c>
      <c r="C284" s="12" t="s">
        <v>462</v>
      </c>
      <c r="D284" s="55"/>
      <c r="E284" s="39" t="str">
        <f>HYPERLINK("https://www.google.ru/search?q=1386903-707&amp;newwindow=1&amp;tbm=isch","Еще фото")</f>
        <v>Еще фото</v>
      </c>
      <c r="F284" s="13"/>
      <c r="G284" s="24" t="s">
        <v>28</v>
      </c>
      <c r="H284" s="24" t="s">
        <v>27</v>
      </c>
      <c r="I284" s="24" t="s">
        <v>28</v>
      </c>
      <c r="J284" s="14" t="s">
        <v>29</v>
      </c>
      <c r="K284" s="15" t="s">
        <v>30</v>
      </c>
      <c r="L284" s="58"/>
      <c r="M284" s="14"/>
      <c r="N284" s="14" t="s">
        <v>249</v>
      </c>
      <c r="O284" s="14"/>
      <c r="P284" s="15" t="s">
        <v>113</v>
      </c>
      <c r="Q284" s="16">
        <v>13699</v>
      </c>
      <c r="R284" s="17">
        <v>40</v>
      </c>
      <c r="S284" s="18">
        <v>9452.31</v>
      </c>
      <c r="T284" s="19" t="s">
        <v>36</v>
      </c>
      <c r="U284" s="20" t="s">
        <v>41</v>
      </c>
      <c r="V284" s="21" t="s">
        <v>42</v>
      </c>
      <c r="W284" s="22">
        <v>1</v>
      </c>
      <c r="X284" s="23"/>
    </row>
    <row r="285" spans="1:24" s="1" customFormat="1" ht="108" customHeight="1" x14ac:dyDescent="0.3">
      <c r="A285" s="11" t="s">
        <v>23</v>
      </c>
      <c r="B285" s="11" t="s">
        <v>464</v>
      </c>
      <c r="C285" s="12" t="s">
        <v>465</v>
      </c>
      <c r="D285" s="25"/>
      <c r="E285" s="39" t="str">
        <f>HYPERLINK("https://www.google.ru/search?q=1388647-410&amp;newwindow=1&amp;tbm=isch","Еще фото")</f>
        <v>Еще фото</v>
      </c>
      <c r="F285" s="13"/>
      <c r="G285" s="11" t="s">
        <v>63</v>
      </c>
      <c r="H285" s="11" t="s">
        <v>27</v>
      </c>
      <c r="I285" s="14" t="s">
        <v>28</v>
      </c>
      <c r="J285" s="14" t="s">
        <v>29</v>
      </c>
      <c r="K285" s="15" t="s">
        <v>64</v>
      </c>
      <c r="L285" s="14" t="s">
        <v>466</v>
      </c>
      <c r="M285" s="14"/>
      <c r="N285" s="14" t="s">
        <v>91</v>
      </c>
      <c r="O285" s="14"/>
      <c r="P285" s="15" t="s">
        <v>393</v>
      </c>
      <c r="Q285" s="16">
        <v>4799</v>
      </c>
      <c r="R285" s="17">
        <v>40</v>
      </c>
      <c r="S285" s="18">
        <v>3311.31</v>
      </c>
      <c r="T285" s="19" t="s">
        <v>36</v>
      </c>
      <c r="U285" s="20" t="s">
        <v>39</v>
      </c>
      <c r="V285" s="21" t="s">
        <v>38</v>
      </c>
      <c r="W285" s="22">
        <v>1</v>
      </c>
      <c r="X285" s="23"/>
    </row>
    <row r="286" spans="1:24" s="1" customFormat="1" ht="51.95" customHeight="1" x14ac:dyDescent="0.3">
      <c r="A286" s="11" t="s">
        <v>23</v>
      </c>
      <c r="B286" s="11" t="s">
        <v>467</v>
      </c>
      <c r="C286" s="12" t="s">
        <v>468</v>
      </c>
      <c r="D286" s="59"/>
      <c r="E286" s="39" t="str">
        <f>HYPERLINK("https://www.google.ru/search?q=1388649-338&amp;newwindow=1&amp;tbm=isch","Еще фото")</f>
        <v>Еще фото</v>
      </c>
      <c r="F286" s="13"/>
      <c r="G286" s="11" t="s">
        <v>63</v>
      </c>
      <c r="H286" s="11" t="s">
        <v>27</v>
      </c>
      <c r="I286" s="14" t="s">
        <v>28</v>
      </c>
      <c r="J286" s="14" t="s">
        <v>29</v>
      </c>
      <c r="K286" s="15" t="s">
        <v>64</v>
      </c>
      <c r="L286" s="56" t="s">
        <v>469</v>
      </c>
      <c r="M286" s="14"/>
      <c r="N286" s="14" t="s">
        <v>125</v>
      </c>
      <c r="O286" s="14"/>
      <c r="P286" s="15" t="s">
        <v>393</v>
      </c>
      <c r="Q286" s="16">
        <v>5099</v>
      </c>
      <c r="R286" s="17">
        <v>40</v>
      </c>
      <c r="S286" s="18">
        <v>3518.31</v>
      </c>
      <c r="T286" s="19" t="s">
        <v>36</v>
      </c>
      <c r="U286" s="20" t="s">
        <v>69</v>
      </c>
      <c r="V286" s="21" t="s">
        <v>70</v>
      </c>
      <c r="W286" s="22">
        <v>3</v>
      </c>
      <c r="X286" s="23"/>
    </row>
    <row r="287" spans="1:24" s="1" customFormat="1" ht="60.95" customHeight="1" x14ac:dyDescent="0.3">
      <c r="A287" s="24" t="s">
        <v>23</v>
      </c>
      <c r="B287" s="24" t="s">
        <v>467</v>
      </c>
      <c r="C287" s="12" t="s">
        <v>468</v>
      </c>
      <c r="D287" s="60"/>
      <c r="E287" s="39" t="str">
        <f>HYPERLINK("https://www.google.ru/search?q=1388649-338&amp;newwindow=1&amp;tbm=isch","Еще фото")</f>
        <v>Еще фото</v>
      </c>
      <c r="F287" s="13"/>
      <c r="G287" s="24" t="s">
        <v>63</v>
      </c>
      <c r="H287" s="24" t="s">
        <v>27</v>
      </c>
      <c r="I287" s="24" t="s">
        <v>28</v>
      </c>
      <c r="J287" s="14" t="s">
        <v>29</v>
      </c>
      <c r="K287" s="15" t="s">
        <v>64</v>
      </c>
      <c r="L287" s="58"/>
      <c r="M287" s="14"/>
      <c r="N287" s="14" t="s">
        <v>125</v>
      </c>
      <c r="O287" s="14"/>
      <c r="P287" s="15" t="s">
        <v>393</v>
      </c>
      <c r="Q287" s="16">
        <v>5099</v>
      </c>
      <c r="R287" s="17">
        <v>40</v>
      </c>
      <c r="S287" s="18">
        <v>3518.31</v>
      </c>
      <c r="T287" s="19" t="s">
        <v>36</v>
      </c>
      <c r="U287" s="20" t="s">
        <v>41</v>
      </c>
      <c r="V287" s="21" t="s">
        <v>40</v>
      </c>
      <c r="W287" s="22">
        <v>1</v>
      </c>
      <c r="X287" s="23"/>
    </row>
    <row r="288" spans="1:24" s="1" customFormat="1" ht="108" customHeight="1" x14ac:dyDescent="0.3">
      <c r="A288" s="11" t="s">
        <v>23</v>
      </c>
      <c r="B288" s="11" t="s">
        <v>470</v>
      </c>
      <c r="C288" s="12" t="s">
        <v>471</v>
      </c>
      <c r="D288" s="25"/>
      <c r="E288" s="39" t="str">
        <f>HYPERLINK("https://www.google.ru/search?q=1388823-005&amp;newwindow=1&amp;tbm=isch","Еще фото")</f>
        <v>Еще фото</v>
      </c>
      <c r="F288" s="13" t="s">
        <v>98</v>
      </c>
      <c r="G288" s="11" t="s">
        <v>28</v>
      </c>
      <c r="H288" s="11" t="s">
        <v>27</v>
      </c>
      <c r="I288" s="14" t="s">
        <v>28</v>
      </c>
      <c r="J288" s="14" t="s">
        <v>47</v>
      </c>
      <c r="K288" s="15" t="s">
        <v>30</v>
      </c>
      <c r="L288" s="14" t="s">
        <v>233</v>
      </c>
      <c r="M288" s="14" t="s">
        <v>32</v>
      </c>
      <c r="N288" s="14" t="s">
        <v>33</v>
      </c>
      <c r="O288" s="14"/>
      <c r="P288" s="15" t="s">
        <v>185</v>
      </c>
      <c r="Q288" s="16">
        <v>8999</v>
      </c>
      <c r="R288" s="17">
        <v>40</v>
      </c>
      <c r="S288" s="18">
        <v>6209.3099999999995</v>
      </c>
      <c r="T288" s="19" t="s">
        <v>36</v>
      </c>
      <c r="U288" s="20" t="s">
        <v>37</v>
      </c>
      <c r="V288" s="21" t="s">
        <v>38</v>
      </c>
      <c r="W288" s="22">
        <v>1</v>
      </c>
      <c r="X288" s="23"/>
    </row>
    <row r="289" spans="1:24" s="1" customFormat="1" ht="51.95" customHeight="1" x14ac:dyDescent="0.3">
      <c r="A289" s="11" t="s">
        <v>23</v>
      </c>
      <c r="B289" s="11" t="s">
        <v>231</v>
      </c>
      <c r="C289" s="12" t="s">
        <v>472</v>
      </c>
      <c r="D289" s="59"/>
      <c r="E289" s="39" t="str">
        <f>HYPERLINK("https://www.google.ru/search?q=1388823-014&amp;newwindow=1&amp;tbm=isch","Еще фото")</f>
        <v>Еще фото</v>
      </c>
      <c r="F289" s="13"/>
      <c r="G289" s="11" t="s">
        <v>28</v>
      </c>
      <c r="H289" s="11" t="s">
        <v>27</v>
      </c>
      <c r="I289" s="14" t="s">
        <v>28</v>
      </c>
      <c r="J289" s="14" t="s">
        <v>29</v>
      </c>
      <c r="K289" s="15" t="s">
        <v>30</v>
      </c>
      <c r="L289" s="56" t="s">
        <v>233</v>
      </c>
      <c r="M289" s="14" t="s">
        <v>32</v>
      </c>
      <c r="N289" s="14" t="s">
        <v>74</v>
      </c>
      <c r="O289" s="14"/>
      <c r="P289" s="15" t="s">
        <v>185</v>
      </c>
      <c r="Q289" s="16">
        <v>9699</v>
      </c>
      <c r="R289" s="17">
        <v>40</v>
      </c>
      <c r="S289" s="18">
        <v>6692.3099999999995</v>
      </c>
      <c r="T289" s="19" t="s">
        <v>36</v>
      </c>
      <c r="U289" s="20" t="s">
        <v>37</v>
      </c>
      <c r="V289" s="21" t="s">
        <v>38</v>
      </c>
      <c r="W289" s="22">
        <v>9</v>
      </c>
      <c r="X289" s="23"/>
    </row>
    <row r="290" spans="1:24" s="1" customFormat="1" ht="60.95" customHeight="1" x14ac:dyDescent="0.3">
      <c r="A290" s="24" t="s">
        <v>23</v>
      </c>
      <c r="B290" s="24" t="s">
        <v>231</v>
      </c>
      <c r="C290" s="12" t="s">
        <v>472</v>
      </c>
      <c r="D290" s="60"/>
      <c r="E290" s="39" t="str">
        <f>HYPERLINK("https://www.google.ru/search?q=1388823-014&amp;newwindow=1&amp;tbm=isch","Еще фото")</f>
        <v>Еще фото</v>
      </c>
      <c r="F290" s="13"/>
      <c r="G290" s="24" t="s">
        <v>28</v>
      </c>
      <c r="H290" s="24" t="s">
        <v>27</v>
      </c>
      <c r="I290" s="24" t="s">
        <v>28</v>
      </c>
      <c r="J290" s="14" t="s">
        <v>29</v>
      </c>
      <c r="K290" s="15" t="s">
        <v>30</v>
      </c>
      <c r="L290" s="58"/>
      <c r="M290" s="14" t="s">
        <v>32</v>
      </c>
      <c r="N290" s="14" t="s">
        <v>74</v>
      </c>
      <c r="O290" s="14"/>
      <c r="P290" s="15" t="s">
        <v>185</v>
      </c>
      <c r="Q290" s="16">
        <v>9699</v>
      </c>
      <c r="R290" s="17">
        <v>40</v>
      </c>
      <c r="S290" s="18">
        <v>6692.3099999999995</v>
      </c>
      <c r="T290" s="19" t="s">
        <v>36</v>
      </c>
      <c r="U290" s="20" t="s">
        <v>39</v>
      </c>
      <c r="V290" s="21" t="s">
        <v>40</v>
      </c>
      <c r="W290" s="22">
        <v>2</v>
      </c>
      <c r="X290" s="23"/>
    </row>
    <row r="291" spans="1:24" s="1" customFormat="1" ht="35.1" customHeight="1" x14ac:dyDescent="0.3">
      <c r="A291" s="11" t="s">
        <v>23</v>
      </c>
      <c r="B291" s="11" t="s">
        <v>470</v>
      </c>
      <c r="C291" s="12" t="s">
        <v>473</v>
      </c>
      <c r="D291" s="53"/>
      <c r="E291" s="39" t="str">
        <f>HYPERLINK("https://www.google.ru/search?q=1388823-466&amp;newwindow=1&amp;tbm=isch","Еще фото")</f>
        <v>Еще фото</v>
      </c>
      <c r="F291" s="13"/>
      <c r="G291" s="11" t="s">
        <v>28</v>
      </c>
      <c r="H291" s="11" t="s">
        <v>27</v>
      </c>
      <c r="I291" s="14" t="s">
        <v>28</v>
      </c>
      <c r="J291" s="14" t="s">
        <v>47</v>
      </c>
      <c r="K291" s="15" t="s">
        <v>30</v>
      </c>
      <c r="L291" s="56"/>
      <c r="M291" s="14"/>
      <c r="N291" s="14" t="s">
        <v>91</v>
      </c>
      <c r="O291" s="14"/>
      <c r="P291" s="15" t="s">
        <v>185</v>
      </c>
      <c r="Q291" s="16">
        <v>7599</v>
      </c>
      <c r="R291" s="17">
        <v>40</v>
      </c>
      <c r="S291" s="18">
        <v>5243.3099999999995</v>
      </c>
      <c r="T291" s="19" t="s">
        <v>36</v>
      </c>
      <c r="U291" s="20" t="s">
        <v>37</v>
      </c>
      <c r="V291" s="21" t="s">
        <v>38</v>
      </c>
      <c r="W291" s="22">
        <v>1</v>
      </c>
      <c r="X291" s="23"/>
    </row>
    <row r="292" spans="1:24" s="1" customFormat="1" ht="35.1" customHeight="1" x14ac:dyDescent="0.3">
      <c r="A292" s="24" t="s">
        <v>23</v>
      </c>
      <c r="B292" s="24" t="s">
        <v>470</v>
      </c>
      <c r="C292" s="12" t="s">
        <v>473</v>
      </c>
      <c r="D292" s="54"/>
      <c r="E292" s="39" t="str">
        <f>HYPERLINK("https://www.google.ru/search?q=1388823-466&amp;newwindow=1&amp;tbm=isch","Еще фото")</f>
        <v>Еще фото</v>
      </c>
      <c r="F292" s="13"/>
      <c r="G292" s="24" t="s">
        <v>28</v>
      </c>
      <c r="H292" s="24" t="s">
        <v>27</v>
      </c>
      <c r="I292" s="24" t="s">
        <v>28</v>
      </c>
      <c r="J292" s="14" t="s">
        <v>47</v>
      </c>
      <c r="K292" s="15" t="s">
        <v>30</v>
      </c>
      <c r="L292" s="57"/>
      <c r="M292" s="14"/>
      <c r="N292" s="14" t="s">
        <v>91</v>
      </c>
      <c r="O292" s="14"/>
      <c r="P292" s="15" t="s">
        <v>185</v>
      </c>
      <c r="Q292" s="16">
        <v>7599</v>
      </c>
      <c r="R292" s="17">
        <v>40</v>
      </c>
      <c r="S292" s="18">
        <v>5243.3099999999995</v>
      </c>
      <c r="T292" s="19" t="s">
        <v>36</v>
      </c>
      <c r="U292" s="20" t="s">
        <v>39</v>
      </c>
      <c r="V292" s="21" t="s">
        <v>40</v>
      </c>
      <c r="W292" s="22">
        <v>1</v>
      </c>
      <c r="X292" s="23"/>
    </row>
    <row r="293" spans="1:24" s="1" customFormat="1" ht="36.950000000000003" customHeight="1" x14ac:dyDescent="0.3">
      <c r="A293" s="24" t="s">
        <v>23</v>
      </c>
      <c r="B293" s="24" t="s">
        <v>470</v>
      </c>
      <c r="C293" s="12" t="s">
        <v>473</v>
      </c>
      <c r="D293" s="55"/>
      <c r="E293" s="39" t="str">
        <f>HYPERLINK("https://www.google.ru/search?q=1388823-466&amp;newwindow=1&amp;tbm=isch","Еще фото")</f>
        <v>Еще фото</v>
      </c>
      <c r="F293" s="13"/>
      <c r="G293" s="24" t="s">
        <v>28</v>
      </c>
      <c r="H293" s="24" t="s">
        <v>27</v>
      </c>
      <c r="I293" s="24" t="s">
        <v>28</v>
      </c>
      <c r="J293" s="14" t="s">
        <v>47</v>
      </c>
      <c r="K293" s="15" t="s">
        <v>30</v>
      </c>
      <c r="L293" s="58"/>
      <c r="M293" s="14"/>
      <c r="N293" s="14" t="s">
        <v>91</v>
      </c>
      <c r="O293" s="14"/>
      <c r="P293" s="15" t="s">
        <v>185</v>
      </c>
      <c r="Q293" s="16">
        <v>7599</v>
      </c>
      <c r="R293" s="17">
        <v>40</v>
      </c>
      <c r="S293" s="18">
        <v>5243.3099999999995</v>
      </c>
      <c r="T293" s="19" t="s">
        <v>36</v>
      </c>
      <c r="U293" s="20" t="s">
        <v>43</v>
      </c>
      <c r="V293" s="21" t="s">
        <v>44</v>
      </c>
      <c r="W293" s="22">
        <v>1</v>
      </c>
      <c r="X293" s="23"/>
    </row>
    <row r="294" spans="1:24" s="1" customFormat="1" ht="51.95" customHeight="1" x14ac:dyDescent="0.3">
      <c r="A294" s="11" t="s">
        <v>23</v>
      </c>
      <c r="B294" s="11" t="s">
        <v>71</v>
      </c>
      <c r="C294" s="12" t="s">
        <v>474</v>
      </c>
      <c r="D294" s="59"/>
      <c r="E294" s="39" t="str">
        <f>HYPERLINK("https://www.google.ru/search?q=1388827-001&amp;newwindow=1&amp;tbm=isch","Еще фото")</f>
        <v>Еще фото</v>
      </c>
      <c r="F294" s="13"/>
      <c r="G294" s="11" t="s">
        <v>28</v>
      </c>
      <c r="H294" s="11" t="s">
        <v>27</v>
      </c>
      <c r="I294" s="14" t="s">
        <v>28</v>
      </c>
      <c r="J294" s="14" t="s">
        <v>29</v>
      </c>
      <c r="K294" s="15" t="s">
        <v>30</v>
      </c>
      <c r="L294" s="56" t="s">
        <v>73</v>
      </c>
      <c r="M294" s="14" t="s">
        <v>32</v>
      </c>
      <c r="N294" s="14" t="s">
        <v>33</v>
      </c>
      <c r="O294" s="14"/>
      <c r="P294" s="15" t="s">
        <v>51</v>
      </c>
      <c r="Q294" s="16">
        <v>16799</v>
      </c>
      <c r="R294" s="17">
        <v>40</v>
      </c>
      <c r="S294" s="18">
        <v>11591.31</v>
      </c>
      <c r="T294" s="19" t="s">
        <v>36</v>
      </c>
      <c r="U294" s="20" t="s">
        <v>41</v>
      </c>
      <c r="V294" s="21" t="s">
        <v>42</v>
      </c>
      <c r="W294" s="22">
        <v>1</v>
      </c>
      <c r="X294" s="23"/>
    </row>
    <row r="295" spans="1:24" s="1" customFormat="1" ht="60.95" customHeight="1" x14ac:dyDescent="0.3">
      <c r="A295" s="24" t="s">
        <v>23</v>
      </c>
      <c r="B295" s="24" t="s">
        <v>71</v>
      </c>
      <c r="C295" s="12" t="s">
        <v>474</v>
      </c>
      <c r="D295" s="60"/>
      <c r="E295" s="39" t="str">
        <f>HYPERLINK("https://www.google.ru/search?q=1388827-001&amp;newwindow=1&amp;tbm=isch","Еще фото")</f>
        <v>Еще фото</v>
      </c>
      <c r="F295" s="13"/>
      <c r="G295" s="24" t="s">
        <v>28</v>
      </c>
      <c r="H295" s="24" t="s">
        <v>27</v>
      </c>
      <c r="I295" s="24" t="s">
        <v>28</v>
      </c>
      <c r="J295" s="14" t="s">
        <v>29</v>
      </c>
      <c r="K295" s="15" t="s">
        <v>30</v>
      </c>
      <c r="L295" s="58"/>
      <c r="M295" s="14" t="s">
        <v>32</v>
      </c>
      <c r="N295" s="14" t="s">
        <v>33</v>
      </c>
      <c r="O295" s="14"/>
      <c r="P295" s="15" t="s">
        <v>51</v>
      </c>
      <c r="Q295" s="16">
        <v>16799</v>
      </c>
      <c r="R295" s="17">
        <v>40</v>
      </c>
      <c r="S295" s="18">
        <v>11591.31</v>
      </c>
      <c r="T295" s="19" t="s">
        <v>36</v>
      </c>
      <c r="U295" s="20" t="s">
        <v>104</v>
      </c>
      <c r="V295" s="21" t="s">
        <v>105</v>
      </c>
      <c r="W295" s="22">
        <v>1</v>
      </c>
      <c r="X295" s="23"/>
    </row>
    <row r="296" spans="1:24" s="1" customFormat="1" ht="51.95" customHeight="1" x14ac:dyDescent="0.3">
      <c r="A296" s="11" t="s">
        <v>23</v>
      </c>
      <c r="B296" s="11" t="s">
        <v>160</v>
      </c>
      <c r="C296" s="12" t="s">
        <v>475</v>
      </c>
      <c r="D296" s="59"/>
      <c r="E296" s="39" t="str">
        <f>HYPERLINK("https://www.google.ru/search?q=1389358-390&amp;newwindow=1&amp;tbm=isch","Еще фото")</f>
        <v>Еще фото</v>
      </c>
      <c r="F296" s="13"/>
      <c r="G296" s="11" t="s">
        <v>28</v>
      </c>
      <c r="H296" s="11" t="s">
        <v>27</v>
      </c>
      <c r="I296" s="14" t="s">
        <v>28</v>
      </c>
      <c r="J296" s="14" t="s">
        <v>29</v>
      </c>
      <c r="K296" s="15" t="s">
        <v>30</v>
      </c>
      <c r="L296" s="56" t="s">
        <v>476</v>
      </c>
      <c r="M296" s="14"/>
      <c r="N296" s="14" t="s">
        <v>125</v>
      </c>
      <c r="O296" s="14"/>
      <c r="P296" s="15" t="s">
        <v>113</v>
      </c>
      <c r="Q296" s="16">
        <v>9799</v>
      </c>
      <c r="R296" s="17">
        <v>40</v>
      </c>
      <c r="S296" s="18">
        <v>6761.3099999999995</v>
      </c>
      <c r="T296" s="19" t="s">
        <v>36</v>
      </c>
      <c r="U296" s="20" t="s">
        <v>37</v>
      </c>
      <c r="V296" s="21" t="s">
        <v>38</v>
      </c>
      <c r="W296" s="22">
        <v>7</v>
      </c>
      <c r="X296" s="23"/>
    </row>
    <row r="297" spans="1:24" s="1" customFormat="1" ht="60.95" customHeight="1" x14ac:dyDescent="0.3">
      <c r="A297" s="24" t="s">
        <v>23</v>
      </c>
      <c r="B297" s="24" t="s">
        <v>160</v>
      </c>
      <c r="C297" s="12" t="s">
        <v>475</v>
      </c>
      <c r="D297" s="60"/>
      <c r="E297" s="39" t="str">
        <f>HYPERLINK("https://www.google.ru/search?q=1389358-390&amp;newwindow=1&amp;tbm=isch","Еще фото")</f>
        <v>Еще фото</v>
      </c>
      <c r="F297" s="13"/>
      <c r="G297" s="24" t="s">
        <v>28</v>
      </c>
      <c r="H297" s="24" t="s">
        <v>27</v>
      </c>
      <c r="I297" s="24" t="s">
        <v>28</v>
      </c>
      <c r="J297" s="14" t="s">
        <v>29</v>
      </c>
      <c r="K297" s="15" t="s">
        <v>30</v>
      </c>
      <c r="L297" s="58"/>
      <c r="M297" s="14"/>
      <c r="N297" s="14" t="s">
        <v>125</v>
      </c>
      <c r="O297" s="14"/>
      <c r="P297" s="15" t="s">
        <v>113</v>
      </c>
      <c r="Q297" s="16">
        <v>9799</v>
      </c>
      <c r="R297" s="17">
        <v>40</v>
      </c>
      <c r="S297" s="18">
        <v>6761.3099999999995</v>
      </c>
      <c r="T297" s="19" t="s">
        <v>36</v>
      </c>
      <c r="U297" s="20" t="s">
        <v>39</v>
      </c>
      <c r="V297" s="21" t="s">
        <v>40</v>
      </c>
      <c r="W297" s="22">
        <v>2</v>
      </c>
      <c r="X297" s="23"/>
    </row>
    <row r="298" spans="1:24" s="1" customFormat="1" ht="51.95" customHeight="1" x14ac:dyDescent="0.3">
      <c r="A298" s="11" t="s">
        <v>23</v>
      </c>
      <c r="B298" s="11" t="s">
        <v>477</v>
      </c>
      <c r="C298" s="12" t="s">
        <v>478</v>
      </c>
      <c r="D298" s="59"/>
      <c r="E298" s="39" t="str">
        <f>HYPERLINK("https://www.google.ru/search?q=1389702-001&amp;newwindow=1&amp;tbm=isch","Еще фото")</f>
        <v>Еще фото</v>
      </c>
      <c r="F298" s="13"/>
      <c r="G298" s="11" t="s">
        <v>28</v>
      </c>
      <c r="H298" s="11" t="s">
        <v>27</v>
      </c>
      <c r="I298" s="14" t="s">
        <v>28</v>
      </c>
      <c r="J298" s="14" t="s">
        <v>47</v>
      </c>
      <c r="K298" s="15" t="s">
        <v>64</v>
      </c>
      <c r="L298" s="56" t="s">
        <v>479</v>
      </c>
      <c r="M298" s="14"/>
      <c r="N298" s="14" t="s">
        <v>480</v>
      </c>
      <c r="O298" s="14"/>
      <c r="P298" s="15" t="s">
        <v>51</v>
      </c>
      <c r="Q298" s="16">
        <v>22099</v>
      </c>
      <c r="R298" s="17">
        <v>40</v>
      </c>
      <c r="S298" s="18">
        <v>15248.309999999998</v>
      </c>
      <c r="T298" s="19" t="s">
        <v>36</v>
      </c>
      <c r="U298" s="20" t="s">
        <v>39</v>
      </c>
      <c r="V298" s="21" t="s">
        <v>38</v>
      </c>
      <c r="W298" s="22">
        <v>1</v>
      </c>
      <c r="X298" s="23"/>
    </row>
    <row r="299" spans="1:24" s="1" customFormat="1" ht="60.95" customHeight="1" x14ac:dyDescent="0.3">
      <c r="A299" s="24" t="s">
        <v>23</v>
      </c>
      <c r="B299" s="24" t="s">
        <v>477</v>
      </c>
      <c r="C299" s="12" t="s">
        <v>478</v>
      </c>
      <c r="D299" s="60"/>
      <c r="E299" s="39" t="str">
        <f>HYPERLINK("https://www.google.ru/search?q=1389702-001&amp;newwindow=1&amp;tbm=isch","Еще фото")</f>
        <v>Еще фото</v>
      </c>
      <c r="F299" s="13"/>
      <c r="G299" s="24" t="s">
        <v>28</v>
      </c>
      <c r="H299" s="24" t="s">
        <v>27</v>
      </c>
      <c r="I299" s="24" t="s">
        <v>28</v>
      </c>
      <c r="J299" s="14" t="s">
        <v>47</v>
      </c>
      <c r="K299" s="15" t="s">
        <v>64</v>
      </c>
      <c r="L299" s="58"/>
      <c r="M299" s="14"/>
      <c r="N299" s="14" t="s">
        <v>480</v>
      </c>
      <c r="O299" s="14"/>
      <c r="P299" s="15" t="s">
        <v>51</v>
      </c>
      <c r="Q299" s="16">
        <v>22099</v>
      </c>
      <c r="R299" s="17">
        <v>40</v>
      </c>
      <c r="S299" s="18">
        <v>15248.309999999998</v>
      </c>
      <c r="T299" s="19" t="s">
        <v>36</v>
      </c>
      <c r="U299" s="20" t="s">
        <v>41</v>
      </c>
      <c r="V299" s="21" t="s">
        <v>40</v>
      </c>
      <c r="W299" s="22">
        <v>1</v>
      </c>
      <c r="X299" s="23"/>
    </row>
    <row r="300" spans="1:24" s="1" customFormat="1" ht="51.95" customHeight="1" x14ac:dyDescent="0.3">
      <c r="A300" s="11" t="s">
        <v>23</v>
      </c>
      <c r="B300" s="11" t="s">
        <v>481</v>
      </c>
      <c r="C300" s="12" t="s">
        <v>482</v>
      </c>
      <c r="D300" s="59"/>
      <c r="E300" s="39" t="str">
        <f>HYPERLINK("https://www.google.ru/search?q=1390143-025&amp;newwindow=1&amp;tbm=isch","Еще фото")</f>
        <v>Еще фото</v>
      </c>
      <c r="F300" s="13"/>
      <c r="G300" s="11" t="s">
        <v>28</v>
      </c>
      <c r="H300" s="11" t="s">
        <v>27</v>
      </c>
      <c r="I300" s="14" t="s">
        <v>28</v>
      </c>
      <c r="J300" s="14" t="s">
        <v>47</v>
      </c>
      <c r="K300" s="15" t="s">
        <v>30</v>
      </c>
      <c r="L300" s="56" t="s">
        <v>483</v>
      </c>
      <c r="M300" s="14"/>
      <c r="N300" s="14" t="s">
        <v>84</v>
      </c>
      <c r="O300" s="14"/>
      <c r="P300" s="15" t="s">
        <v>113</v>
      </c>
      <c r="Q300" s="16">
        <v>6999</v>
      </c>
      <c r="R300" s="17">
        <v>40</v>
      </c>
      <c r="S300" s="18">
        <v>4829.3099999999995</v>
      </c>
      <c r="T300" s="19" t="s">
        <v>36</v>
      </c>
      <c r="U300" s="20" t="s">
        <v>37</v>
      </c>
      <c r="V300" s="21" t="s">
        <v>38</v>
      </c>
      <c r="W300" s="22">
        <v>1</v>
      </c>
      <c r="X300" s="23"/>
    </row>
    <row r="301" spans="1:24" s="1" customFormat="1" ht="60.95" customHeight="1" x14ac:dyDescent="0.3">
      <c r="A301" s="24" t="s">
        <v>23</v>
      </c>
      <c r="B301" s="24" t="s">
        <v>481</v>
      </c>
      <c r="C301" s="12" t="s">
        <v>482</v>
      </c>
      <c r="D301" s="60"/>
      <c r="E301" s="39" t="str">
        <f>HYPERLINK("https://www.google.ru/search?q=1390143-025&amp;newwindow=1&amp;tbm=isch","Еще фото")</f>
        <v>Еще фото</v>
      </c>
      <c r="F301" s="13"/>
      <c r="G301" s="24" t="s">
        <v>28</v>
      </c>
      <c r="H301" s="24" t="s">
        <v>27</v>
      </c>
      <c r="I301" s="24" t="s">
        <v>28</v>
      </c>
      <c r="J301" s="14" t="s">
        <v>47</v>
      </c>
      <c r="K301" s="15" t="s">
        <v>30</v>
      </c>
      <c r="L301" s="58"/>
      <c r="M301" s="14"/>
      <c r="N301" s="14" t="s">
        <v>84</v>
      </c>
      <c r="O301" s="14"/>
      <c r="P301" s="15" t="s">
        <v>113</v>
      </c>
      <c r="Q301" s="16">
        <v>6999</v>
      </c>
      <c r="R301" s="17">
        <v>40</v>
      </c>
      <c r="S301" s="18">
        <v>4829.3099999999995</v>
      </c>
      <c r="T301" s="19" t="s">
        <v>36</v>
      </c>
      <c r="U301" s="20" t="s">
        <v>39</v>
      </c>
      <c r="V301" s="21" t="s">
        <v>40</v>
      </c>
      <c r="W301" s="22">
        <v>7</v>
      </c>
      <c r="X301" s="23"/>
    </row>
    <row r="302" spans="1:24" s="1" customFormat="1" ht="108" customHeight="1" x14ac:dyDescent="0.3">
      <c r="A302" s="11" t="s">
        <v>23</v>
      </c>
      <c r="B302" s="11" t="s">
        <v>484</v>
      </c>
      <c r="C302" s="12" t="s">
        <v>485</v>
      </c>
      <c r="D302" s="25"/>
      <c r="E302" s="39" t="str">
        <f>HYPERLINK("https://www.google.ru/search?q=1390256-004&amp;newwindow=1&amp;tbm=isch","Еще фото")</f>
        <v>Еще фото</v>
      </c>
      <c r="F302" s="13" t="s">
        <v>98</v>
      </c>
      <c r="G302" s="11" t="s">
        <v>28</v>
      </c>
      <c r="H302" s="11" t="s">
        <v>27</v>
      </c>
      <c r="I302" s="14" t="s">
        <v>28</v>
      </c>
      <c r="J302" s="14" t="s">
        <v>47</v>
      </c>
      <c r="K302" s="15" t="s">
        <v>30</v>
      </c>
      <c r="L302" s="14" t="s">
        <v>486</v>
      </c>
      <c r="M302" s="14"/>
      <c r="N302" s="14" t="s">
        <v>33</v>
      </c>
      <c r="O302" s="14"/>
      <c r="P302" s="15" t="s">
        <v>185</v>
      </c>
      <c r="Q302" s="16">
        <v>10499</v>
      </c>
      <c r="R302" s="17">
        <v>40</v>
      </c>
      <c r="S302" s="18">
        <v>7244.3099999999986</v>
      </c>
      <c r="T302" s="19" t="s">
        <v>36</v>
      </c>
      <c r="U302" s="20" t="s">
        <v>39</v>
      </c>
      <c r="V302" s="21" t="s">
        <v>40</v>
      </c>
      <c r="W302" s="22">
        <v>2</v>
      </c>
      <c r="X302" s="23"/>
    </row>
    <row r="303" spans="1:24" s="1" customFormat="1" ht="51.95" customHeight="1" x14ac:dyDescent="0.3">
      <c r="A303" s="11" t="s">
        <v>23</v>
      </c>
      <c r="B303" s="11" t="s">
        <v>484</v>
      </c>
      <c r="C303" s="12" t="s">
        <v>487</v>
      </c>
      <c r="D303" s="59"/>
      <c r="E303" s="39" t="str">
        <f>HYPERLINK("https://www.google.ru/search?q=1390256-014&amp;newwindow=1&amp;tbm=isch","Еще фото")</f>
        <v>Еще фото</v>
      </c>
      <c r="F303" s="13" t="s">
        <v>98</v>
      </c>
      <c r="G303" s="11" t="s">
        <v>28</v>
      </c>
      <c r="H303" s="11" t="s">
        <v>27</v>
      </c>
      <c r="I303" s="14" t="s">
        <v>28</v>
      </c>
      <c r="J303" s="14" t="s">
        <v>47</v>
      </c>
      <c r="K303" s="15" t="s">
        <v>30</v>
      </c>
      <c r="L303" s="56" t="s">
        <v>486</v>
      </c>
      <c r="M303" s="14"/>
      <c r="N303" s="14" t="s">
        <v>84</v>
      </c>
      <c r="O303" s="14"/>
      <c r="P303" s="15" t="s">
        <v>185</v>
      </c>
      <c r="Q303" s="16">
        <v>10499</v>
      </c>
      <c r="R303" s="17">
        <v>40</v>
      </c>
      <c r="S303" s="18">
        <v>7244.3099999999986</v>
      </c>
      <c r="T303" s="19" t="s">
        <v>36</v>
      </c>
      <c r="U303" s="20" t="s">
        <v>39</v>
      </c>
      <c r="V303" s="21" t="s">
        <v>40</v>
      </c>
      <c r="W303" s="22">
        <v>2</v>
      </c>
      <c r="X303" s="23"/>
    </row>
    <row r="304" spans="1:24" s="1" customFormat="1" ht="60.95" customHeight="1" x14ac:dyDescent="0.3">
      <c r="A304" s="24" t="s">
        <v>23</v>
      </c>
      <c r="B304" s="24" t="s">
        <v>484</v>
      </c>
      <c r="C304" s="12" t="s">
        <v>487</v>
      </c>
      <c r="D304" s="60"/>
      <c r="E304" s="39" t="str">
        <f>HYPERLINK("https://www.google.ru/search?q=1390256-014&amp;newwindow=1&amp;tbm=isch","Еще фото")</f>
        <v>Еще фото</v>
      </c>
      <c r="F304" s="13" t="s">
        <v>98</v>
      </c>
      <c r="G304" s="24" t="s">
        <v>28</v>
      </c>
      <c r="H304" s="24" t="s">
        <v>27</v>
      </c>
      <c r="I304" s="24" t="s">
        <v>28</v>
      </c>
      <c r="J304" s="14" t="s">
        <v>47</v>
      </c>
      <c r="K304" s="15" t="s">
        <v>30</v>
      </c>
      <c r="L304" s="58"/>
      <c r="M304" s="14"/>
      <c r="N304" s="14" t="s">
        <v>84</v>
      </c>
      <c r="O304" s="14"/>
      <c r="P304" s="15" t="s">
        <v>185</v>
      </c>
      <c r="Q304" s="16">
        <v>10499</v>
      </c>
      <c r="R304" s="17">
        <v>40</v>
      </c>
      <c r="S304" s="18">
        <v>7244.3099999999986</v>
      </c>
      <c r="T304" s="19" t="s">
        <v>36</v>
      </c>
      <c r="U304" s="20" t="s">
        <v>41</v>
      </c>
      <c r="V304" s="21" t="s">
        <v>42</v>
      </c>
      <c r="W304" s="22">
        <v>1</v>
      </c>
      <c r="X304" s="23"/>
    </row>
    <row r="305" spans="1:24" s="1" customFormat="1" ht="26.1" customHeight="1" x14ac:dyDescent="0.3">
      <c r="A305" s="11" t="s">
        <v>23</v>
      </c>
      <c r="B305" s="11" t="s">
        <v>484</v>
      </c>
      <c r="C305" s="12" t="s">
        <v>488</v>
      </c>
      <c r="D305" s="53"/>
      <c r="E305" s="39" t="str">
        <f>HYPERLINK("https://www.google.ru/search?q=1390256-466&amp;newwindow=1&amp;tbm=isch","Еще фото")</f>
        <v>Еще фото</v>
      </c>
      <c r="F305" s="13"/>
      <c r="G305" s="11" t="s">
        <v>28</v>
      </c>
      <c r="H305" s="11" t="s">
        <v>27</v>
      </c>
      <c r="I305" s="14" t="s">
        <v>28</v>
      </c>
      <c r="J305" s="14" t="s">
        <v>47</v>
      </c>
      <c r="K305" s="15" t="s">
        <v>30</v>
      </c>
      <c r="L305" s="56"/>
      <c r="M305" s="14"/>
      <c r="N305" s="14" t="s">
        <v>91</v>
      </c>
      <c r="O305" s="14"/>
      <c r="P305" s="15" t="s">
        <v>185</v>
      </c>
      <c r="Q305" s="16">
        <v>10499</v>
      </c>
      <c r="R305" s="17">
        <v>40</v>
      </c>
      <c r="S305" s="18">
        <v>7244.3099999999986</v>
      </c>
      <c r="T305" s="19" t="s">
        <v>36</v>
      </c>
      <c r="U305" s="20" t="s">
        <v>39</v>
      </c>
      <c r="V305" s="21" t="s">
        <v>40</v>
      </c>
      <c r="W305" s="22">
        <v>3</v>
      </c>
      <c r="X305" s="23"/>
    </row>
    <row r="306" spans="1:24" s="1" customFormat="1" ht="26.1" customHeight="1" x14ac:dyDescent="0.3">
      <c r="A306" s="24" t="s">
        <v>23</v>
      </c>
      <c r="B306" s="24" t="s">
        <v>484</v>
      </c>
      <c r="C306" s="12" t="s">
        <v>488</v>
      </c>
      <c r="D306" s="54"/>
      <c r="E306" s="39" t="str">
        <f>HYPERLINK("https://www.google.ru/search?q=1390256-466&amp;newwindow=1&amp;tbm=isch","Еще фото")</f>
        <v>Еще фото</v>
      </c>
      <c r="F306" s="13"/>
      <c r="G306" s="24" t="s">
        <v>28</v>
      </c>
      <c r="H306" s="24" t="s">
        <v>27</v>
      </c>
      <c r="I306" s="24" t="s">
        <v>28</v>
      </c>
      <c r="J306" s="14" t="s">
        <v>47</v>
      </c>
      <c r="K306" s="15" t="s">
        <v>30</v>
      </c>
      <c r="L306" s="57"/>
      <c r="M306" s="14"/>
      <c r="N306" s="14" t="s">
        <v>91</v>
      </c>
      <c r="O306" s="14"/>
      <c r="P306" s="15" t="s">
        <v>185</v>
      </c>
      <c r="Q306" s="16">
        <v>10499</v>
      </c>
      <c r="R306" s="17">
        <v>40</v>
      </c>
      <c r="S306" s="18">
        <v>7244.3099999999986</v>
      </c>
      <c r="T306" s="19" t="s">
        <v>36</v>
      </c>
      <c r="U306" s="20" t="s">
        <v>41</v>
      </c>
      <c r="V306" s="21" t="s">
        <v>42</v>
      </c>
      <c r="W306" s="22">
        <v>1</v>
      </c>
      <c r="X306" s="23"/>
    </row>
    <row r="307" spans="1:24" s="1" customFormat="1" ht="26.1" customHeight="1" x14ac:dyDescent="0.3">
      <c r="A307" s="24" t="s">
        <v>23</v>
      </c>
      <c r="B307" s="24" t="s">
        <v>484</v>
      </c>
      <c r="C307" s="12" t="s">
        <v>488</v>
      </c>
      <c r="D307" s="54"/>
      <c r="E307" s="39" t="str">
        <f>HYPERLINK("https://www.google.ru/search?q=1390256-466&amp;newwindow=1&amp;tbm=isch","Еще фото")</f>
        <v>Еще фото</v>
      </c>
      <c r="F307" s="13"/>
      <c r="G307" s="24" t="s">
        <v>28</v>
      </c>
      <c r="H307" s="24" t="s">
        <v>27</v>
      </c>
      <c r="I307" s="24" t="s">
        <v>28</v>
      </c>
      <c r="J307" s="14" t="s">
        <v>47</v>
      </c>
      <c r="K307" s="15" t="s">
        <v>30</v>
      </c>
      <c r="L307" s="57"/>
      <c r="M307" s="14"/>
      <c r="N307" s="14" t="s">
        <v>91</v>
      </c>
      <c r="O307" s="14"/>
      <c r="P307" s="15" t="s">
        <v>185</v>
      </c>
      <c r="Q307" s="16">
        <v>10499</v>
      </c>
      <c r="R307" s="17">
        <v>40</v>
      </c>
      <c r="S307" s="18">
        <v>7244.3099999999986</v>
      </c>
      <c r="T307" s="19" t="s">
        <v>36</v>
      </c>
      <c r="U307" s="20" t="s">
        <v>43</v>
      </c>
      <c r="V307" s="21" t="s">
        <v>44</v>
      </c>
      <c r="W307" s="22">
        <v>2</v>
      </c>
      <c r="X307" s="23"/>
    </row>
    <row r="308" spans="1:24" s="1" customFormat="1" ht="26.1" customHeight="1" x14ac:dyDescent="0.3">
      <c r="A308" s="24" t="s">
        <v>23</v>
      </c>
      <c r="B308" s="24" t="s">
        <v>484</v>
      </c>
      <c r="C308" s="12" t="s">
        <v>488</v>
      </c>
      <c r="D308" s="55"/>
      <c r="E308" s="39" t="str">
        <f>HYPERLINK("https://www.google.ru/search?q=1390256-466&amp;newwindow=1&amp;tbm=isch","Еще фото")</f>
        <v>Еще фото</v>
      </c>
      <c r="F308" s="13"/>
      <c r="G308" s="24" t="s">
        <v>28</v>
      </c>
      <c r="H308" s="24" t="s">
        <v>27</v>
      </c>
      <c r="I308" s="24" t="s">
        <v>28</v>
      </c>
      <c r="J308" s="14" t="s">
        <v>47</v>
      </c>
      <c r="K308" s="15" t="s">
        <v>30</v>
      </c>
      <c r="L308" s="58"/>
      <c r="M308" s="14"/>
      <c r="N308" s="14" t="s">
        <v>91</v>
      </c>
      <c r="O308" s="14"/>
      <c r="P308" s="15" t="s">
        <v>185</v>
      </c>
      <c r="Q308" s="16">
        <v>10499</v>
      </c>
      <c r="R308" s="17">
        <v>40</v>
      </c>
      <c r="S308" s="18">
        <v>7244.3099999999986</v>
      </c>
      <c r="T308" s="19" t="s">
        <v>36</v>
      </c>
      <c r="U308" s="20" t="s">
        <v>104</v>
      </c>
      <c r="V308" s="21" t="s">
        <v>105</v>
      </c>
      <c r="W308" s="22">
        <v>4</v>
      </c>
      <c r="X308" s="23"/>
    </row>
    <row r="309" spans="1:24" s="1" customFormat="1" ht="51.95" customHeight="1" x14ac:dyDescent="0.3">
      <c r="A309" s="11" t="s">
        <v>23</v>
      </c>
      <c r="B309" s="11" t="s">
        <v>489</v>
      </c>
      <c r="C309" s="12" t="s">
        <v>490</v>
      </c>
      <c r="D309" s="59"/>
      <c r="E309" s="39" t="str">
        <f>HYPERLINK("https://www.google.ru/search?q=1390288-014&amp;newwindow=1&amp;tbm=isch","Еще фото")</f>
        <v>Еще фото</v>
      </c>
      <c r="F309" s="13"/>
      <c r="G309" s="11" t="s">
        <v>28</v>
      </c>
      <c r="H309" s="11" t="s">
        <v>27</v>
      </c>
      <c r="I309" s="14" t="s">
        <v>28</v>
      </c>
      <c r="J309" s="14" t="s">
        <v>47</v>
      </c>
      <c r="K309" s="15" t="s">
        <v>30</v>
      </c>
      <c r="L309" s="56" t="s">
        <v>491</v>
      </c>
      <c r="M309" s="14" t="s">
        <v>32</v>
      </c>
      <c r="N309" s="14" t="s">
        <v>84</v>
      </c>
      <c r="O309" s="14"/>
      <c r="P309" s="15" t="s">
        <v>492</v>
      </c>
      <c r="Q309" s="16">
        <v>14399</v>
      </c>
      <c r="R309" s="17">
        <v>40</v>
      </c>
      <c r="S309" s="18">
        <v>9935.31</v>
      </c>
      <c r="T309" s="19" t="s">
        <v>36</v>
      </c>
      <c r="U309" s="20" t="s">
        <v>39</v>
      </c>
      <c r="V309" s="21" t="s">
        <v>40</v>
      </c>
      <c r="W309" s="22">
        <v>2</v>
      </c>
      <c r="X309" s="23"/>
    </row>
    <row r="310" spans="1:24" s="1" customFormat="1" ht="60.95" customHeight="1" x14ac:dyDescent="0.3">
      <c r="A310" s="24" t="s">
        <v>23</v>
      </c>
      <c r="B310" s="24" t="s">
        <v>489</v>
      </c>
      <c r="C310" s="12" t="s">
        <v>490</v>
      </c>
      <c r="D310" s="60"/>
      <c r="E310" s="39" t="str">
        <f>HYPERLINK("https://www.google.ru/search?q=1390288-014&amp;newwindow=1&amp;tbm=isch","Еще фото")</f>
        <v>Еще фото</v>
      </c>
      <c r="F310" s="13"/>
      <c r="G310" s="24" t="s">
        <v>28</v>
      </c>
      <c r="H310" s="24" t="s">
        <v>27</v>
      </c>
      <c r="I310" s="24" t="s">
        <v>28</v>
      </c>
      <c r="J310" s="14" t="s">
        <v>47</v>
      </c>
      <c r="K310" s="15" t="s">
        <v>30</v>
      </c>
      <c r="L310" s="58"/>
      <c r="M310" s="14" t="s">
        <v>32</v>
      </c>
      <c r="N310" s="14" t="s">
        <v>84</v>
      </c>
      <c r="O310" s="14"/>
      <c r="P310" s="15" t="s">
        <v>492</v>
      </c>
      <c r="Q310" s="16">
        <v>14399</v>
      </c>
      <c r="R310" s="17">
        <v>40</v>
      </c>
      <c r="S310" s="18">
        <v>9935.31</v>
      </c>
      <c r="T310" s="19" t="s">
        <v>36</v>
      </c>
      <c r="U310" s="20" t="s">
        <v>43</v>
      </c>
      <c r="V310" s="21" t="s">
        <v>44</v>
      </c>
      <c r="W310" s="22">
        <v>1</v>
      </c>
      <c r="X310" s="23"/>
    </row>
    <row r="311" spans="1:24" s="1" customFormat="1" ht="108" customHeight="1" x14ac:dyDescent="0.3">
      <c r="A311" s="11" t="s">
        <v>23</v>
      </c>
      <c r="B311" s="11" t="s">
        <v>493</v>
      </c>
      <c r="C311" s="12" t="s">
        <v>494</v>
      </c>
      <c r="D311" s="25"/>
      <c r="E311" s="39" t="str">
        <f>HYPERLINK("https://www.google.ru/search?q=6000276-001&amp;newwindow=1&amp;tbm=isch","Еще фото")</f>
        <v>Еще фото</v>
      </c>
      <c r="F311" s="13"/>
      <c r="G311" s="11" t="s">
        <v>28</v>
      </c>
      <c r="H311" s="11" t="s">
        <v>27</v>
      </c>
      <c r="I311" s="14" t="s">
        <v>28</v>
      </c>
      <c r="J311" s="14" t="s">
        <v>47</v>
      </c>
      <c r="K311" s="15" t="s">
        <v>64</v>
      </c>
      <c r="L311" s="14" t="s">
        <v>495</v>
      </c>
      <c r="M311" s="14"/>
      <c r="N311" s="14" t="s">
        <v>33</v>
      </c>
      <c r="O311" s="14"/>
      <c r="P311" s="15" t="s">
        <v>51</v>
      </c>
      <c r="Q311" s="16">
        <v>13299</v>
      </c>
      <c r="R311" s="17">
        <v>40</v>
      </c>
      <c r="S311" s="18">
        <v>9176.31</v>
      </c>
      <c r="T311" s="19" t="s">
        <v>36</v>
      </c>
      <c r="U311" s="20" t="s">
        <v>43</v>
      </c>
      <c r="V311" s="21" t="s">
        <v>42</v>
      </c>
      <c r="W311" s="22">
        <v>1</v>
      </c>
      <c r="X311" s="23"/>
    </row>
    <row r="312" spans="1:24" s="1" customFormat="1" ht="51.95" customHeight="1" x14ac:dyDescent="0.3">
      <c r="A312" s="11" t="s">
        <v>23</v>
      </c>
      <c r="B312" s="11" t="s">
        <v>493</v>
      </c>
      <c r="C312" s="12" t="s">
        <v>496</v>
      </c>
      <c r="D312" s="59"/>
      <c r="E312" s="39" t="str">
        <f>HYPERLINK("https://www.google.ru/search?q=6000276-251&amp;newwindow=1&amp;tbm=isch","Еще фото")</f>
        <v>Еще фото</v>
      </c>
      <c r="F312" s="13"/>
      <c r="G312" s="11" t="s">
        <v>28</v>
      </c>
      <c r="H312" s="11" t="s">
        <v>27</v>
      </c>
      <c r="I312" s="14" t="s">
        <v>28</v>
      </c>
      <c r="J312" s="14" t="s">
        <v>47</v>
      </c>
      <c r="K312" s="15" t="s">
        <v>64</v>
      </c>
      <c r="L312" s="56" t="s">
        <v>497</v>
      </c>
      <c r="M312" s="14"/>
      <c r="N312" s="14" t="s">
        <v>125</v>
      </c>
      <c r="O312" s="14"/>
      <c r="P312" s="15" t="s">
        <v>51</v>
      </c>
      <c r="Q312" s="16">
        <v>13299</v>
      </c>
      <c r="R312" s="17">
        <v>40</v>
      </c>
      <c r="S312" s="18">
        <v>9176.31</v>
      </c>
      <c r="T312" s="19" t="s">
        <v>36</v>
      </c>
      <c r="U312" s="20" t="s">
        <v>37</v>
      </c>
      <c r="V312" s="21" t="s">
        <v>86</v>
      </c>
      <c r="W312" s="22">
        <v>2</v>
      </c>
      <c r="X312" s="23"/>
    </row>
    <row r="313" spans="1:24" s="1" customFormat="1" ht="60.95" customHeight="1" x14ac:dyDescent="0.3">
      <c r="A313" s="24" t="s">
        <v>23</v>
      </c>
      <c r="B313" s="24" t="s">
        <v>493</v>
      </c>
      <c r="C313" s="12" t="s">
        <v>496</v>
      </c>
      <c r="D313" s="60"/>
      <c r="E313" s="39" t="str">
        <f>HYPERLINK("https://www.google.ru/search?q=6000276-251&amp;newwindow=1&amp;tbm=isch","Еще фото")</f>
        <v>Еще фото</v>
      </c>
      <c r="F313" s="13"/>
      <c r="G313" s="24" t="s">
        <v>28</v>
      </c>
      <c r="H313" s="24" t="s">
        <v>27</v>
      </c>
      <c r="I313" s="24" t="s">
        <v>28</v>
      </c>
      <c r="J313" s="14" t="s">
        <v>47</v>
      </c>
      <c r="K313" s="15" t="s">
        <v>64</v>
      </c>
      <c r="L313" s="58"/>
      <c r="M313" s="14"/>
      <c r="N313" s="14" t="s">
        <v>125</v>
      </c>
      <c r="O313" s="14"/>
      <c r="P313" s="15" t="s">
        <v>51</v>
      </c>
      <c r="Q313" s="16">
        <v>13299</v>
      </c>
      <c r="R313" s="17">
        <v>40</v>
      </c>
      <c r="S313" s="18">
        <v>9176.31</v>
      </c>
      <c r="T313" s="19" t="s">
        <v>36</v>
      </c>
      <c r="U313" s="20" t="s">
        <v>39</v>
      </c>
      <c r="V313" s="21" t="s">
        <v>38</v>
      </c>
      <c r="W313" s="22">
        <v>6</v>
      </c>
      <c r="X313" s="23"/>
    </row>
    <row r="314" spans="1:24" s="1" customFormat="1" ht="108" customHeight="1" x14ac:dyDescent="0.3">
      <c r="A314" s="11" t="s">
        <v>23</v>
      </c>
      <c r="B314" s="11" t="s">
        <v>76</v>
      </c>
      <c r="C314" s="12" t="s">
        <v>498</v>
      </c>
      <c r="D314" s="25"/>
      <c r="E314" s="39" t="str">
        <f>HYPERLINK("https://www.google.ru/search?q=6000646-299&amp;newwindow=1&amp;tbm=isch","Еще фото")</f>
        <v>Еще фото</v>
      </c>
      <c r="F314" s="13"/>
      <c r="G314" s="11" t="s">
        <v>63</v>
      </c>
      <c r="H314" s="11" t="s">
        <v>27</v>
      </c>
      <c r="I314" s="14" t="s">
        <v>28</v>
      </c>
      <c r="J314" s="14" t="s">
        <v>29</v>
      </c>
      <c r="K314" s="15" t="s">
        <v>64</v>
      </c>
      <c r="L314" s="14" t="s">
        <v>499</v>
      </c>
      <c r="M314" s="14"/>
      <c r="N314" s="14" t="s">
        <v>215</v>
      </c>
      <c r="O314" s="14"/>
      <c r="P314" s="15" t="s">
        <v>500</v>
      </c>
      <c r="Q314" s="16">
        <v>8499</v>
      </c>
      <c r="R314" s="17">
        <v>40</v>
      </c>
      <c r="S314" s="18">
        <v>5864.3099999999995</v>
      </c>
      <c r="T314" s="19" t="s">
        <v>36</v>
      </c>
      <c r="U314" s="20" t="s">
        <v>41</v>
      </c>
      <c r="V314" s="21" t="s">
        <v>40</v>
      </c>
      <c r="W314" s="22">
        <v>2</v>
      </c>
      <c r="X314" s="23"/>
    </row>
    <row r="315" spans="1:24" s="1" customFormat="1" ht="108" customHeight="1" x14ac:dyDescent="0.3">
      <c r="A315" s="11" t="s">
        <v>23</v>
      </c>
      <c r="B315" s="11" t="s">
        <v>501</v>
      </c>
      <c r="C315" s="12" t="s">
        <v>502</v>
      </c>
      <c r="D315" s="25"/>
      <c r="E315" s="39" t="str">
        <f>HYPERLINK("https://www.google.ru/search?q=6003983-673&amp;newwindow=1&amp;tbm=isch","Еще фото")</f>
        <v>Еще фото</v>
      </c>
      <c r="F315" s="13"/>
      <c r="G315" s="11" t="s">
        <v>63</v>
      </c>
      <c r="H315" s="11" t="s">
        <v>27</v>
      </c>
      <c r="I315" s="14" t="s">
        <v>28</v>
      </c>
      <c r="J315" s="14" t="s">
        <v>29</v>
      </c>
      <c r="K315" s="15" t="s">
        <v>64</v>
      </c>
      <c r="L315" s="14" t="s">
        <v>503</v>
      </c>
      <c r="M315" s="14"/>
      <c r="N315" s="14" t="s">
        <v>57</v>
      </c>
      <c r="O315" s="14"/>
      <c r="P315" s="15" t="s">
        <v>100</v>
      </c>
      <c r="Q315" s="16">
        <v>4399</v>
      </c>
      <c r="R315" s="17">
        <v>40</v>
      </c>
      <c r="S315" s="18">
        <v>3035.31</v>
      </c>
      <c r="T315" s="19" t="s">
        <v>36</v>
      </c>
      <c r="U315" s="20" t="s">
        <v>41</v>
      </c>
      <c r="V315" s="21" t="s">
        <v>40</v>
      </c>
      <c r="W315" s="22">
        <v>1</v>
      </c>
      <c r="X315" s="23"/>
    </row>
    <row r="316" spans="1:24" s="1" customFormat="1" ht="21" customHeight="1" x14ac:dyDescent="0.3">
      <c r="A316" s="11" t="s">
        <v>23</v>
      </c>
      <c r="B316" s="11" t="s">
        <v>504</v>
      </c>
      <c r="C316" s="26" t="s">
        <v>505</v>
      </c>
      <c r="D316" s="53"/>
      <c r="E316" s="39" t="str">
        <f>HYPERLINK("https://www.google.ru/search?q=6004044-001&amp;newwindow=1&amp;tbm=isch","Еще фото")</f>
        <v>Еще фото</v>
      </c>
      <c r="F316" s="13" t="s">
        <v>98</v>
      </c>
      <c r="G316" s="11" t="s">
        <v>28</v>
      </c>
      <c r="H316" s="11" t="s">
        <v>27</v>
      </c>
      <c r="I316" s="14" t="s">
        <v>28</v>
      </c>
      <c r="J316" s="14" t="s">
        <v>506</v>
      </c>
      <c r="K316" s="15" t="s">
        <v>30</v>
      </c>
      <c r="L316" s="56" t="s">
        <v>507</v>
      </c>
      <c r="M316" s="14"/>
      <c r="N316" s="14" t="s">
        <v>33</v>
      </c>
      <c r="O316" s="14"/>
      <c r="P316" s="15" t="s">
        <v>269</v>
      </c>
      <c r="Q316" s="16">
        <v>7099</v>
      </c>
      <c r="R316" s="17">
        <v>40</v>
      </c>
      <c r="S316" s="18">
        <v>4898.3099999999995</v>
      </c>
      <c r="T316" s="19" t="s">
        <v>36</v>
      </c>
      <c r="U316" s="20" t="s">
        <v>37</v>
      </c>
      <c r="V316" s="21" t="s">
        <v>38</v>
      </c>
      <c r="W316" s="22">
        <v>4</v>
      </c>
      <c r="X316" s="23"/>
    </row>
    <row r="317" spans="1:24" s="1" customFormat="1" ht="21" customHeight="1" x14ac:dyDescent="0.3">
      <c r="A317" s="24" t="s">
        <v>23</v>
      </c>
      <c r="B317" s="24" t="s">
        <v>504</v>
      </c>
      <c r="C317" s="27" t="s">
        <v>505</v>
      </c>
      <c r="D317" s="54"/>
      <c r="E317" s="39" t="str">
        <f>HYPERLINK("https://www.google.ru/search?q=6004044-001&amp;newwindow=1&amp;tbm=isch","Еще фото")</f>
        <v>Еще фото</v>
      </c>
      <c r="F317" s="13" t="s">
        <v>98</v>
      </c>
      <c r="G317" s="24" t="s">
        <v>28</v>
      </c>
      <c r="H317" s="24" t="s">
        <v>27</v>
      </c>
      <c r="I317" s="24" t="s">
        <v>28</v>
      </c>
      <c r="J317" s="14" t="s">
        <v>506</v>
      </c>
      <c r="K317" s="15" t="s">
        <v>30</v>
      </c>
      <c r="L317" s="57"/>
      <c r="M317" s="14"/>
      <c r="N317" s="14" t="s">
        <v>33</v>
      </c>
      <c r="O317" s="14"/>
      <c r="P317" s="15" t="s">
        <v>269</v>
      </c>
      <c r="Q317" s="16">
        <v>7099</v>
      </c>
      <c r="R317" s="17">
        <v>40</v>
      </c>
      <c r="S317" s="18">
        <v>4898.3099999999995</v>
      </c>
      <c r="T317" s="19" t="s">
        <v>36</v>
      </c>
      <c r="U317" s="20" t="s">
        <v>39</v>
      </c>
      <c r="V317" s="21" t="s">
        <v>40</v>
      </c>
      <c r="W317" s="22">
        <v>8</v>
      </c>
      <c r="X317" s="23"/>
    </row>
    <row r="318" spans="1:24" s="1" customFormat="1" ht="21" customHeight="1" x14ac:dyDescent="0.3">
      <c r="A318" s="24" t="s">
        <v>23</v>
      </c>
      <c r="B318" s="24" t="s">
        <v>504</v>
      </c>
      <c r="C318" s="27" t="s">
        <v>505</v>
      </c>
      <c r="D318" s="54"/>
      <c r="E318" s="39" t="str">
        <f>HYPERLINK("https://www.google.ru/search?q=6004044-001&amp;newwindow=1&amp;tbm=isch","Еще фото")</f>
        <v>Еще фото</v>
      </c>
      <c r="F318" s="13" t="s">
        <v>98</v>
      </c>
      <c r="G318" s="24" t="s">
        <v>28</v>
      </c>
      <c r="H318" s="24" t="s">
        <v>27</v>
      </c>
      <c r="I318" s="24" t="s">
        <v>28</v>
      </c>
      <c r="J318" s="14" t="s">
        <v>506</v>
      </c>
      <c r="K318" s="15" t="s">
        <v>30</v>
      </c>
      <c r="L318" s="57"/>
      <c r="M318" s="14"/>
      <c r="N318" s="14" t="s">
        <v>33</v>
      </c>
      <c r="O318" s="14"/>
      <c r="P318" s="15" t="s">
        <v>269</v>
      </c>
      <c r="Q318" s="16">
        <v>7099</v>
      </c>
      <c r="R318" s="17">
        <v>40</v>
      </c>
      <c r="S318" s="18">
        <v>4898.3099999999995</v>
      </c>
      <c r="T318" s="19" t="s">
        <v>36</v>
      </c>
      <c r="U318" s="20" t="s">
        <v>41</v>
      </c>
      <c r="V318" s="21" t="s">
        <v>42</v>
      </c>
      <c r="W318" s="22">
        <v>14</v>
      </c>
      <c r="X318" s="23"/>
    </row>
    <row r="319" spans="1:24" s="1" customFormat="1" ht="21" customHeight="1" x14ac:dyDescent="0.3">
      <c r="A319" s="24" t="s">
        <v>23</v>
      </c>
      <c r="B319" s="24" t="s">
        <v>504</v>
      </c>
      <c r="C319" s="27" t="s">
        <v>505</v>
      </c>
      <c r="D319" s="54"/>
      <c r="E319" s="39" t="str">
        <f>HYPERLINK("https://www.google.ru/search?q=6004044-001&amp;newwindow=1&amp;tbm=isch","Еще фото")</f>
        <v>Еще фото</v>
      </c>
      <c r="F319" s="13" t="s">
        <v>98</v>
      </c>
      <c r="G319" s="24" t="s">
        <v>28</v>
      </c>
      <c r="H319" s="24" t="s">
        <v>27</v>
      </c>
      <c r="I319" s="24" t="s">
        <v>28</v>
      </c>
      <c r="J319" s="14" t="s">
        <v>506</v>
      </c>
      <c r="K319" s="15" t="s">
        <v>30</v>
      </c>
      <c r="L319" s="57"/>
      <c r="M319" s="14"/>
      <c r="N319" s="14" t="s">
        <v>33</v>
      </c>
      <c r="O319" s="14"/>
      <c r="P319" s="15" t="s">
        <v>269</v>
      </c>
      <c r="Q319" s="16">
        <v>7099</v>
      </c>
      <c r="R319" s="17">
        <v>40</v>
      </c>
      <c r="S319" s="18">
        <v>4898.3099999999995</v>
      </c>
      <c r="T319" s="19" t="s">
        <v>36</v>
      </c>
      <c r="U319" s="20" t="s">
        <v>43</v>
      </c>
      <c r="V319" s="21" t="s">
        <v>44</v>
      </c>
      <c r="W319" s="22">
        <v>1</v>
      </c>
      <c r="X319" s="23"/>
    </row>
    <row r="320" spans="1:24" s="1" customFormat="1" ht="32.1" customHeight="1" x14ac:dyDescent="0.3">
      <c r="A320" s="24" t="s">
        <v>23</v>
      </c>
      <c r="B320" s="24" t="s">
        <v>504</v>
      </c>
      <c r="C320" s="27" t="s">
        <v>505</v>
      </c>
      <c r="D320" s="55"/>
      <c r="E320" s="39" t="str">
        <f>HYPERLINK("https://www.google.ru/search?q=6004044-001&amp;newwindow=1&amp;tbm=isch","Еще фото")</f>
        <v>Еще фото</v>
      </c>
      <c r="F320" s="13" t="s">
        <v>98</v>
      </c>
      <c r="G320" s="24" t="s">
        <v>28</v>
      </c>
      <c r="H320" s="24" t="s">
        <v>27</v>
      </c>
      <c r="I320" s="24" t="s">
        <v>28</v>
      </c>
      <c r="J320" s="14" t="s">
        <v>506</v>
      </c>
      <c r="K320" s="15" t="s">
        <v>30</v>
      </c>
      <c r="L320" s="58"/>
      <c r="M320" s="14"/>
      <c r="N320" s="14" t="s">
        <v>33</v>
      </c>
      <c r="O320" s="14"/>
      <c r="P320" s="15" t="s">
        <v>269</v>
      </c>
      <c r="Q320" s="16">
        <v>7099</v>
      </c>
      <c r="R320" s="17">
        <v>40</v>
      </c>
      <c r="S320" s="18">
        <v>4898.3099999999995</v>
      </c>
      <c r="T320" s="19" t="s">
        <v>36</v>
      </c>
      <c r="U320" s="20" t="s">
        <v>104</v>
      </c>
      <c r="V320" s="21" t="s">
        <v>105</v>
      </c>
      <c r="W320" s="22">
        <v>6</v>
      </c>
      <c r="X320" s="23"/>
    </row>
    <row r="321" spans="1:24" s="1" customFormat="1" ht="108" customHeight="1" x14ac:dyDescent="0.3">
      <c r="A321" s="11" t="s">
        <v>23</v>
      </c>
      <c r="B321" s="11" t="s">
        <v>508</v>
      </c>
      <c r="C321" s="12" t="s">
        <v>509</v>
      </c>
      <c r="D321" s="25"/>
      <c r="E321" s="39" t="str">
        <f>HYPERLINK("https://www.google.ru/search?q=6004966-003&amp;newwindow=1&amp;tbm=isch","Еще фото")</f>
        <v>Еще фото</v>
      </c>
      <c r="F321" s="13" t="s">
        <v>98</v>
      </c>
      <c r="G321" s="11" t="s">
        <v>28</v>
      </c>
      <c r="H321" s="11" t="s">
        <v>27</v>
      </c>
      <c r="I321" s="14" t="s">
        <v>28</v>
      </c>
      <c r="J321" s="14" t="s">
        <v>29</v>
      </c>
      <c r="K321" s="15" t="s">
        <v>30</v>
      </c>
      <c r="L321" s="14" t="s">
        <v>510</v>
      </c>
      <c r="M321" s="14"/>
      <c r="N321" s="14" t="s">
        <v>33</v>
      </c>
      <c r="O321" s="14"/>
      <c r="P321" s="15" t="s">
        <v>100</v>
      </c>
      <c r="Q321" s="16">
        <v>9699</v>
      </c>
      <c r="R321" s="17">
        <v>40</v>
      </c>
      <c r="S321" s="18">
        <v>6692.3099999999995</v>
      </c>
      <c r="T321" s="19" t="s">
        <v>36</v>
      </c>
      <c r="U321" s="20" t="s">
        <v>37</v>
      </c>
      <c r="V321" s="21" t="s">
        <v>38</v>
      </c>
      <c r="W321" s="22">
        <v>1</v>
      </c>
      <c r="X321" s="23"/>
    </row>
    <row r="322" spans="1:24" s="1" customFormat="1" ht="108" customHeight="1" x14ac:dyDescent="0.3">
      <c r="A322" s="11" t="s">
        <v>23</v>
      </c>
      <c r="B322" s="11" t="s">
        <v>511</v>
      </c>
      <c r="C322" s="12" t="s">
        <v>512</v>
      </c>
      <c r="D322" s="25"/>
      <c r="E322" s="39" t="str">
        <f>HYPERLINK("https://www.google.ru/search?q=6004997-001&amp;newwindow=1&amp;tbm=isch","Еще фото")</f>
        <v>Еще фото</v>
      </c>
      <c r="F322" s="13"/>
      <c r="G322" s="11" t="s">
        <v>28</v>
      </c>
      <c r="H322" s="11" t="s">
        <v>27</v>
      </c>
      <c r="I322" s="14" t="s">
        <v>28</v>
      </c>
      <c r="J322" s="14" t="s">
        <v>47</v>
      </c>
      <c r="K322" s="15" t="s">
        <v>54</v>
      </c>
      <c r="L322" s="14" t="s">
        <v>513</v>
      </c>
      <c r="M322" s="14"/>
      <c r="N322" s="14" t="s">
        <v>33</v>
      </c>
      <c r="O322" s="14"/>
      <c r="P322" s="15" t="s">
        <v>51</v>
      </c>
      <c r="Q322" s="16">
        <v>3499</v>
      </c>
      <c r="R322" s="17">
        <v>40</v>
      </c>
      <c r="S322" s="18">
        <v>2414.31</v>
      </c>
      <c r="T322" s="19" t="s">
        <v>36</v>
      </c>
      <c r="U322" s="20" t="s">
        <v>114</v>
      </c>
      <c r="V322" s="21" t="s">
        <v>115</v>
      </c>
      <c r="W322" s="22">
        <v>3</v>
      </c>
      <c r="X322" s="23"/>
    </row>
    <row r="323" spans="1:24" s="1" customFormat="1" ht="21" customHeight="1" x14ac:dyDescent="0.3">
      <c r="A323" s="11" t="s">
        <v>23</v>
      </c>
      <c r="B323" s="11" t="s">
        <v>511</v>
      </c>
      <c r="C323" s="26" t="s">
        <v>514</v>
      </c>
      <c r="D323" s="53"/>
      <c r="E323" s="39" t="str">
        <f>HYPERLINK("https://www.google.ru/search?q=6004997-011&amp;newwindow=1&amp;tbm=isch","Еще фото")</f>
        <v>Еще фото</v>
      </c>
      <c r="F323" s="13"/>
      <c r="G323" s="11" t="s">
        <v>28</v>
      </c>
      <c r="H323" s="11" t="s">
        <v>27</v>
      </c>
      <c r="I323" s="14" t="s">
        <v>28</v>
      </c>
      <c r="J323" s="14" t="s">
        <v>47</v>
      </c>
      <c r="K323" s="15" t="s">
        <v>54</v>
      </c>
      <c r="L323" s="56" t="s">
        <v>513</v>
      </c>
      <c r="M323" s="14"/>
      <c r="N323" s="14" t="s">
        <v>84</v>
      </c>
      <c r="O323" s="14"/>
      <c r="P323" s="15" t="s">
        <v>51</v>
      </c>
      <c r="Q323" s="16">
        <v>3499</v>
      </c>
      <c r="R323" s="17">
        <v>40</v>
      </c>
      <c r="S323" s="18">
        <v>2414.31</v>
      </c>
      <c r="T323" s="19" t="s">
        <v>36</v>
      </c>
      <c r="U323" s="20" t="s">
        <v>114</v>
      </c>
      <c r="V323" s="21" t="s">
        <v>115</v>
      </c>
      <c r="W323" s="22">
        <v>3</v>
      </c>
      <c r="X323" s="23"/>
    </row>
    <row r="324" spans="1:24" s="1" customFormat="1" ht="21" customHeight="1" x14ac:dyDescent="0.3">
      <c r="A324" s="24" t="s">
        <v>23</v>
      </c>
      <c r="B324" s="24" t="s">
        <v>511</v>
      </c>
      <c r="C324" s="27" t="s">
        <v>514</v>
      </c>
      <c r="D324" s="54"/>
      <c r="E324" s="39" t="str">
        <f>HYPERLINK("https://www.google.ru/search?q=6004997-011&amp;newwindow=1&amp;tbm=isch","Еще фото")</f>
        <v>Еще фото</v>
      </c>
      <c r="F324" s="13"/>
      <c r="G324" s="24" t="s">
        <v>28</v>
      </c>
      <c r="H324" s="24" t="s">
        <v>27</v>
      </c>
      <c r="I324" s="24" t="s">
        <v>28</v>
      </c>
      <c r="J324" s="14" t="s">
        <v>47</v>
      </c>
      <c r="K324" s="15" t="s">
        <v>54</v>
      </c>
      <c r="L324" s="57"/>
      <c r="M324" s="14"/>
      <c r="N324" s="14" t="s">
        <v>84</v>
      </c>
      <c r="O324" s="14"/>
      <c r="P324" s="15" t="s">
        <v>51</v>
      </c>
      <c r="Q324" s="16">
        <v>3499</v>
      </c>
      <c r="R324" s="17">
        <v>40</v>
      </c>
      <c r="S324" s="18">
        <v>2414.31</v>
      </c>
      <c r="T324" s="19" t="s">
        <v>36</v>
      </c>
      <c r="U324" s="20" t="s">
        <v>126</v>
      </c>
      <c r="V324" s="21" t="s">
        <v>127</v>
      </c>
      <c r="W324" s="22">
        <v>6</v>
      </c>
      <c r="X324" s="23"/>
    </row>
    <row r="325" spans="1:24" s="1" customFormat="1" ht="21" customHeight="1" x14ac:dyDescent="0.3">
      <c r="A325" s="24" t="s">
        <v>23</v>
      </c>
      <c r="B325" s="24" t="s">
        <v>511</v>
      </c>
      <c r="C325" s="27" t="s">
        <v>514</v>
      </c>
      <c r="D325" s="54"/>
      <c r="E325" s="39" t="str">
        <f>HYPERLINK("https://www.google.ru/search?q=6004997-011&amp;newwindow=1&amp;tbm=isch","Еще фото")</f>
        <v>Еще фото</v>
      </c>
      <c r="F325" s="13"/>
      <c r="G325" s="24" t="s">
        <v>28</v>
      </c>
      <c r="H325" s="24" t="s">
        <v>27</v>
      </c>
      <c r="I325" s="24" t="s">
        <v>28</v>
      </c>
      <c r="J325" s="14" t="s">
        <v>47</v>
      </c>
      <c r="K325" s="15" t="s">
        <v>54</v>
      </c>
      <c r="L325" s="57"/>
      <c r="M325" s="14"/>
      <c r="N325" s="14" t="s">
        <v>84</v>
      </c>
      <c r="O325" s="14"/>
      <c r="P325" s="15" t="s">
        <v>51</v>
      </c>
      <c r="Q325" s="16">
        <v>3499</v>
      </c>
      <c r="R325" s="17">
        <v>40</v>
      </c>
      <c r="S325" s="18">
        <v>2414.31</v>
      </c>
      <c r="T325" s="19" t="s">
        <v>36</v>
      </c>
      <c r="U325" s="20" t="s">
        <v>128</v>
      </c>
      <c r="V325" s="21" t="s">
        <v>129</v>
      </c>
      <c r="W325" s="22">
        <v>1</v>
      </c>
      <c r="X325" s="23"/>
    </row>
    <row r="326" spans="1:24" s="1" customFormat="1" ht="21" customHeight="1" x14ac:dyDescent="0.3">
      <c r="A326" s="24" t="s">
        <v>23</v>
      </c>
      <c r="B326" s="24" t="s">
        <v>511</v>
      </c>
      <c r="C326" s="27" t="s">
        <v>514</v>
      </c>
      <c r="D326" s="54"/>
      <c r="E326" s="39" t="str">
        <f>HYPERLINK("https://www.google.ru/search?q=6004997-011&amp;newwindow=1&amp;tbm=isch","Еще фото")</f>
        <v>Еще фото</v>
      </c>
      <c r="F326" s="13"/>
      <c r="G326" s="24" t="s">
        <v>28</v>
      </c>
      <c r="H326" s="24" t="s">
        <v>27</v>
      </c>
      <c r="I326" s="24" t="s">
        <v>28</v>
      </c>
      <c r="J326" s="14" t="s">
        <v>47</v>
      </c>
      <c r="K326" s="15" t="s">
        <v>54</v>
      </c>
      <c r="L326" s="57"/>
      <c r="M326" s="14"/>
      <c r="N326" s="14" t="s">
        <v>84</v>
      </c>
      <c r="O326" s="14"/>
      <c r="P326" s="15" t="s">
        <v>51</v>
      </c>
      <c r="Q326" s="16">
        <v>3499</v>
      </c>
      <c r="R326" s="17">
        <v>40</v>
      </c>
      <c r="S326" s="18">
        <v>2414.31</v>
      </c>
      <c r="T326" s="19" t="s">
        <v>36</v>
      </c>
      <c r="U326" s="20" t="s">
        <v>59</v>
      </c>
      <c r="V326" s="21" t="s">
        <v>60</v>
      </c>
      <c r="W326" s="22">
        <v>2</v>
      </c>
      <c r="X326" s="23"/>
    </row>
    <row r="327" spans="1:24" s="1" customFormat="1" ht="32.1" customHeight="1" x14ac:dyDescent="0.3">
      <c r="A327" s="24" t="s">
        <v>23</v>
      </c>
      <c r="B327" s="24" t="s">
        <v>511</v>
      </c>
      <c r="C327" s="27" t="s">
        <v>514</v>
      </c>
      <c r="D327" s="55"/>
      <c r="E327" s="39" t="str">
        <f>HYPERLINK("https://www.google.ru/search?q=6004997-011&amp;newwindow=1&amp;tbm=isch","Еще фото")</f>
        <v>Еще фото</v>
      </c>
      <c r="F327" s="13"/>
      <c r="G327" s="24" t="s">
        <v>28</v>
      </c>
      <c r="H327" s="24" t="s">
        <v>27</v>
      </c>
      <c r="I327" s="24" t="s">
        <v>28</v>
      </c>
      <c r="J327" s="14" t="s">
        <v>47</v>
      </c>
      <c r="K327" s="15" t="s">
        <v>54</v>
      </c>
      <c r="L327" s="58"/>
      <c r="M327" s="14"/>
      <c r="N327" s="14" t="s">
        <v>84</v>
      </c>
      <c r="O327" s="14"/>
      <c r="P327" s="15" t="s">
        <v>51</v>
      </c>
      <c r="Q327" s="16">
        <v>3499</v>
      </c>
      <c r="R327" s="17">
        <v>40</v>
      </c>
      <c r="S327" s="18">
        <v>2414.31</v>
      </c>
      <c r="T327" s="19" t="s">
        <v>36</v>
      </c>
      <c r="U327" s="20" t="s">
        <v>130</v>
      </c>
      <c r="V327" s="21" t="s">
        <v>131</v>
      </c>
      <c r="W327" s="22">
        <v>2</v>
      </c>
      <c r="X327" s="23"/>
    </row>
    <row r="328" spans="1:24" s="1" customFormat="1" ht="35.1" customHeight="1" x14ac:dyDescent="0.3">
      <c r="A328" s="11" t="s">
        <v>23</v>
      </c>
      <c r="B328" s="11" t="s">
        <v>515</v>
      </c>
      <c r="C328" s="12" t="s">
        <v>516</v>
      </c>
      <c r="D328" s="53"/>
      <c r="E328" s="39" t="str">
        <f>HYPERLINK("https://www.google.ru/search?q=6005131-008&amp;newwindow=1&amp;tbm=isch","Еще фото")</f>
        <v>Еще фото</v>
      </c>
      <c r="F328" s="13"/>
      <c r="G328" s="11" t="s">
        <v>28</v>
      </c>
      <c r="H328" s="11" t="s">
        <v>27</v>
      </c>
      <c r="I328" s="14" t="s">
        <v>28</v>
      </c>
      <c r="J328" s="14" t="s">
        <v>506</v>
      </c>
      <c r="K328" s="15" t="s">
        <v>30</v>
      </c>
      <c r="L328" s="56" t="s">
        <v>517</v>
      </c>
      <c r="M328" s="14"/>
      <c r="N328" s="14" t="s">
        <v>33</v>
      </c>
      <c r="O328" s="14"/>
      <c r="P328" s="15" t="s">
        <v>51</v>
      </c>
      <c r="Q328" s="16">
        <v>8899</v>
      </c>
      <c r="R328" s="17">
        <v>40</v>
      </c>
      <c r="S328" s="18">
        <v>6140.3099999999995</v>
      </c>
      <c r="T328" s="19" t="s">
        <v>36</v>
      </c>
      <c r="U328" s="20" t="s">
        <v>39</v>
      </c>
      <c r="V328" s="21" t="s">
        <v>40</v>
      </c>
      <c r="W328" s="22">
        <v>4</v>
      </c>
      <c r="X328" s="23"/>
    </row>
    <row r="329" spans="1:24" s="1" customFormat="1" ht="35.1" customHeight="1" x14ac:dyDescent="0.3">
      <c r="A329" s="24" t="s">
        <v>23</v>
      </c>
      <c r="B329" s="24" t="s">
        <v>515</v>
      </c>
      <c r="C329" s="12" t="s">
        <v>516</v>
      </c>
      <c r="D329" s="54"/>
      <c r="E329" s="39" t="str">
        <f>HYPERLINK("https://www.google.ru/search?q=6005131-008&amp;newwindow=1&amp;tbm=isch","Еще фото")</f>
        <v>Еще фото</v>
      </c>
      <c r="F329" s="13"/>
      <c r="G329" s="24" t="s">
        <v>28</v>
      </c>
      <c r="H329" s="24" t="s">
        <v>27</v>
      </c>
      <c r="I329" s="24" t="s">
        <v>28</v>
      </c>
      <c r="J329" s="14" t="s">
        <v>506</v>
      </c>
      <c r="K329" s="15" t="s">
        <v>30</v>
      </c>
      <c r="L329" s="57"/>
      <c r="M329" s="14"/>
      <c r="N329" s="14" t="s">
        <v>33</v>
      </c>
      <c r="O329" s="14"/>
      <c r="P329" s="15" t="s">
        <v>51</v>
      </c>
      <c r="Q329" s="16">
        <v>8899</v>
      </c>
      <c r="R329" s="17">
        <v>40</v>
      </c>
      <c r="S329" s="18">
        <v>6140.3099999999995</v>
      </c>
      <c r="T329" s="19" t="s">
        <v>36</v>
      </c>
      <c r="U329" s="20" t="s">
        <v>41</v>
      </c>
      <c r="V329" s="21" t="s">
        <v>42</v>
      </c>
      <c r="W329" s="22">
        <v>9</v>
      </c>
      <c r="X329" s="23"/>
    </row>
    <row r="330" spans="1:24" s="1" customFormat="1" ht="36.950000000000003" customHeight="1" x14ac:dyDescent="0.3">
      <c r="A330" s="24" t="s">
        <v>23</v>
      </c>
      <c r="B330" s="24" t="s">
        <v>515</v>
      </c>
      <c r="C330" s="12" t="s">
        <v>516</v>
      </c>
      <c r="D330" s="55"/>
      <c r="E330" s="39" t="str">
        <f>HYPERLINK("https://www.google.ru/search?q=6005131-008&amp;newwindow=1&amp;tbm=isch","Еще фото")</f>
        <v>Еще фото</v>
      </c>
      <c r="F330" s="13"/>
      <c r="G330" s="24" t="s">
        <v>28</v>
      </c>
      <c r="H330" s="24" t="s">
        <v>27</v>
      </c>
      <c r="I330" s="24" t="s">
        <v>28</v>
      </c>
      <c r="J330" s="14" t="s">
        <v>506</v>
      </c>
      <c r="K330" s="15" t="s">
        <v>30</v>
      </c>
      <c r="L330" s="58"/>
      <c r="M330" s="14"/>
      <c r="N330" s="14" t="s">
        <v>33</v>
      </c>
      <c r="O330" s="14"/>
      <c r="P330" s="15" t="s">
        <v>51</v>
      </c>
      <c r="Q330" s="16">
        <v>8899</v>
      </c>
      <c r="R330" s="17">
        <v>40</v>
      </c>
      <c r="S330" s="18">
        <v>6140.3099999999995</v>
      </c>
      <c r="T330" s="19" t="s">
        <v>36</v>
      </c>
      <c r="U330" s="20" t="s">
        <v>43</v>
      </c>
      <c r="V330" s="21" t="s">
        <v>44</v>
      </c>
      <c r="W330" s="22">
        <v>1</v>
      </c>
      <c r="X330" s="23"/>
    </row>
    <row r="331" spans="1:24" s="1" customFormat="1" ht="21" customHeight="1" x14ac:dyDescent="0.3">
      <c r="A331" s="11" t="s">
        <v>23</v>
      </c>
      <c r="B331" s="11" t="s">
        <v>515</v>
      </c>
      <c r="C331" s="26" t="s">
        <v>518</v>
      </c>
      <c r="D331" s="53"/>
      <c r="E331" s="39" t="str">
        <f>HYPERLINK("https://www.google.ru/search?q=6005131-410&amp;newwindow=1&amp;tbm=isch","Еще фото")</f>
        <v>Еще фото</v>
      </c>
      <c r="F331" s="13" t="s">
        <v>98</v>
      </c>
      <c r="G331" s="11" t="s">
        <v>28</v>
      </c>
      <c r="H331" s="11" t="s">
        <v>27</v>
      </c>
      <c r="I331" s="14" t="s">
        <v>28</v>
      </c>
      <c r="J331" s="14" t="s">
        <v>506</v>
      </c>
      <c r="K331" s="15" t="s">
        <v>30</v>
      </c>
      <c r="L331" s="56" t="s">
        <v>517</v>
      </c>
      <c r="M331" s="14"/>
      <c r="N331" s="14" t="s">
        <v>91</v>
      </c>
      <c r="O331" s="14"/>
      <c r="P331" s="15" t="s">
        <v>51</v>
      </c>
      <c r="Q331" s="16">
        <v>8899</v>
      </c>
      <c r="R331" s="17">
        <v>40</v>
      </c>
      <c r="S331" s="18">
        <v>6140.3099999999995</v>
      </c>
      <c r="T331" s="19" t="s">
        <v>36</v>
      </c>
      <c r="U331" s="20" t="s">
        <v>37</v>
      </c>
      <c r="V331" s="21" t="s">
        <v>38</v>
      </c>
      <c r="W331" s="22">
        <v>6</v>
      </c>
      <c r="X331" s="23"/>
    </row>
    <row r="332" spans="1:24" s="1" customFormat="1" ht="21" customHeight="1" x14ac:dyDescent="0.3">
      <c r="A332" s="24" t="s">
        <v>23</v>
      </c>
      <c r="B332" s="24" t="s">
        <v>515</v>
      </c>
      <c r="C332" s="27" t="s">
        <v>518</v>
      </c>
      <c r="D332" s="54"/>
      <c r="E332" s="39" t="str">
        <f>HYPERLINK("https://www.google.ru/search?q=6005131-410&amp;newwindow=1&amp;tbm=isch","Еще фото")</f>
        <v>Еще фото</v>
      </c>
      <c r="F332" s="13" t="s">
        <v>98</v>
      </c>
      <c r="G332" s="24" t="s">
        <v>28</v>
      </c>
      <c r="H332" s="24" t="s">
        <v>27</v>
      </c>
      <c r="I332" s="24" t="s">
        <v>28</v>
      </c>
      <c r="J332" s="14" t="s">
        <v>506</v>
      </c>
      <c r="K332" s="15" t="s">
        <v>30</v>
      </c>
      <c r="L332" s="57"/>
      <c r="M332" s="14"/>
      <c r="N332" s="14" t="s">
        <v>91</v>
      </c>
      <c r="O332" s="14"/>
      <c r="P332" s="15" t="s">
        <v>51</v>
      </c>
      <c r="Q332" s="16">
        <v>8899</v>
      </c>
      <c r="R332" s="17">
        <v>40</v>
      </c>
      <c r="S332" s="18">
        <v>6140.3099999999995</v>
      </c>
      <c r="T332" s="19" t="s">
        <v>36</v>
      </c>
      <c r="U332" s="20" t="s">
        <v>39</v>
      </c>
      <c r="V332" s="21" t="s">
        <v>40</v>
      </c>
      <c r="W332" s="22">
        <v>14</v>
      </c>
      <c r="X332" s="23"/>
    </row>
    <row r="333" spans="1:24" s="1" customFormat="1" ht="21" customHeight="1" x14ac:dyDescent="0.3">
      <c r="A333" s="24" t="s">
        <v>23</v>
      </c>
      <c r="B333" s="24" t="s">
        <v>515</v>
      </c>
      <c r="C333" s="27" t="s">
        <v>518</v>
      </c>
      <c r="D333" s="54"/>
      <c r="E333" s="39" t="str">
        <f>HYPERLINK("https://www.google.ru/search?q=6005131-410&amp;newwindow=1&amp;tbm=isch","Еще фото")</f>
        <v>Еще фото</v>
      </c>
      <c r="F333" s="13" t="s">
        <v>98</v>
      </c>
      <c r="G333" s="24" t="s">
        <v>28</v>
      </c>
      <c r="H333" s="24" t="s">
        <v>27</v>
      </c>
      <c r="I333" s="24" t="s">
        <v>28</v>
      </c>
      <c r="J333" s="14" t="s">
        <v>506</v>
      </c>
      <c r="K333" s="15" t="s">
        <v>30</v>
      </c>
      <c r="L333" s="57"/>
      <c r="M333" s="14"/>
      <c r="N333" s="14" t="s">
        <v>91</v>
      </c>
      <c r="O333" s="14"/>
      <c r="P333" s="15" t="s">
        <v>51</v>
      </c>
      <c r="Q333" s="16">
        <v>8899</v>
      </c>
      <c r="R333" s="17">
        <v>40</v>
      </c>
      <c r="S333" s="18">
        <v>6140.3099999999995</v>
      </c>
      <c r="T333" s="19" t="s">
        <v>36</v>
      </c>
      <c r="U333" s="20" t="s">
        <v>41</v>
      </c>
      <c r="V333" s="21" t="s">
        <v>42</v>
      </c>
      <c r="W333" s="22">
        <v>20</v>
      </c>
      <c r="X333" s="23"/>
    </row>
    <row r="334" spans="1:24" s="1" customFormat="1" ht="21" customHeight="1" x14ac:dyDescent="0.3">
      <c r="A334" s="24" t="s">
        <v>23</v>
      </c>
      <c r="B334" s="24" t="s">
        <v>515</v>
      </c>
      <c r="C334" s="27" t="s">
        <v>518</v>
      </c>
      <c r="D334" s="54"/>
      <c r="E334" s="39" t="str">
        <f>HYPERLINK("https://www.google.ru/search?q=6005131-410&amp;newwindow=1&amp;tbm=isch","Еще фото")</f>
        <v>Еще фото</v>
      </c>
      <c r="F334" s="13" t="s">
        <v>98</v>
      </c>
      <c r="G334" s="24" t="s">
        <v>28</v>
      </c>
      <c r="H334" s="24" t="s">
        <v>27</v>
      </c>
      <c r="I334" s="24" t="s">
        <v>28</v>
      </c>
      <c r="J334" s="14" t="s">
        <v>506</v>
      </c>
      <c r="K334" s="15" t="s">
        <v>30</v>
      </c>
      <c r="L334" s="57"/>
      <c r="M334" s="14"/>
      <c r="N334" s="14" t="s">
        <v>91</v>
      </c>
      <c r="O334" s="14"/>
      <c r="P334" s="15" t="s">
        <v>51</v>
      </c>
      <c r="Q334" s="16">
        <v>8899</v>
      </c>
      <c r="R334" s="17">
        <v>40</v>
      </c>
      <c r="S334" s="18">
        <v>6140.3099999999995</v>
      </c>
      <c r="T334" s="19" t="s">
        <v>36</v>
      </c>
      <c r="U334" s="20" t="s">
        <v>43</v>
      </c>
      <c r="V334" s="21" t="s">
        <v>44</v>
      </c>
      <c r="W334" s="22">
        <v>10</v>
      </c>
      <c r="X334" s="23"/>
    </row>
    <row r="335" spans="1:24" s="1" customFormat="1" ht="32.1" customHeight="1" x14ac:dyDescent="0.3">
      <c r="A335" s="24" t="s">
        <v>23</v>
      </c>
      <c r="B335" s="24" t="s">
        <v>515</v>
      </c>
      <c r="C335" s="27" t="s">
        <v>518</v>
      </c>
      <c r="D335" s="55"/>
      <c r="E335" s="39" t="str">
        <f>HYPERLINK("https://www.google.ru/search?q=6005131-410&amp;newwindow=1&amp;tbm=isch","Еще фото")</f>
        <v>Еще фото</v>
      </c>
      <c r="F335" s="13" t="s">
        <v>98</v>
      </c>
      <c r="G335" s="24" t="s">
        <v>28</v>
      </c>
      <c r="H335" s="24" t="s">
        <v>27</v>
      </c>
      <c r="I335" s="24" t="s">
        <v>28</v>
      </c>
      <c r="J335" s="14" t="s">
        <v>506</v>
      </c>
      <c r="K335" s="15" t="s">
        <v>30</v>
      </c>
      <c r="L335" s="58"/>
      <c r="M335" s="14"/>
      <c r="N335" s="14" t="s">
        <v>91</v>
      </c>
      <c r="O335" s="14"/>
      <c r="P335" s="15" t="s">
        <v>51</v>
      </c>
      <c r="Q335" s="16">
        <v>8899</v>
      </c>
      <c r="R335" s="17">
        <v>40</v>
      </c>
      <c r="S335" s="18">
        <v>6140.3099999999995</v>
      </c>
      <c r="T335" s="19" t="s">
        <v>36</v>
      </c>
      <c r="U335" s="20" t="s">
        <v>104</v>
      </c>
      <c r="V335" s="21" t="s">
        <v>105</v>
      </c>
      <c r="W335" s="22">
        <v>3</v>
      </c>
      <c r="X335" s="23"/>
    </row>
    <row r="336" spans="1:24" s="1" customFormat="1" ht="108" customHeight="1" x14ac:dyDescent="0.3">
      <c r="A336" s="11" t="s">
        <v>23</v>
      </c>
      <c r="B336" s="11" t="s">
        <v>519</v>
      </c>
      <c r="C336" s="12" t="s">
        <v>520</v>
      </c>
      <c r="D336" s="25"/>
      <c r="E336" s="39" t="str">
        <f>HYPERLINK("https://www.google.ru/search?q=6005696-418&amp;newwindow=1&amp;tbm=isch","Еще фото")</f>
        <v>Еще фото</v>
      </c>
      <c r="F336" s="13"/>
      <c r="G336" s="11" t="s">
        <v>28</v>
      </c>
      <c r="H336" s="11" t="s">
        <v>27</v>
      </c>
      <c r="I336" s="14" t="s">
        <v>28</v>
      </c>
      <c r="J336" s="14" t="s">
        <v>47</v>
      </c>
      <c r="K336" s="15" t="s">
        <v>30</v>
      </c>
      <c r="L336" s="14" t="s">
        <v>521</v>
      </c>
      <c r="M336" s="14"/>
      <c r="N336" s="14" t="s">
        <v>91</v>
      </c>
      <c r="O336" s="14"/>
      <c r="P336" s="15" t="s">
        <v>113</v>
      </c>
      <c r="Q336" s="16">
        <v>11699</v>
      </c>
      <c r="R336" s="17">
        <v>40</v>
      </c>
      <c r="S336" s="18">
        <v>8072.3099999999986</v>
      </c>
      <c r="T336" s="19" t="s">
        <v>36</v>
      </c>
      <c r="U336" s="20" t="s">
        <v>39</v>
      </c>
      <c r="V336" s="21" t="s">
        <v>40</v>
      </c>
      <c r="W336" s="22">
        <v>1</v>
      </c>
      <c r="X336" s="23"/>
    </row>
    <row r="337" spans="1:24" s="1" customFormat="1" ht="35.1" customHeight="1" x14ac:dyDescent="0.3">
      <c r="A337" s="11" t="s">
        <v>23</v>
      </c>
      <c r="B337" s="11" t="s">
        <v>522</v>
      </c>
      <c r="C337" s="12" t="s">
        <v>523</v>
      </c>
      <c r="D337" s="53"/>
      <c r="E337" s="39" t="str">
        <f>HYPERLINK("https://www.google.ru/search?q=6005899-026&amp;newwindow=1&amp;tbm=isch","Еще фото")</f>
        <v>Еще фото</v>
      </c>
      <c r="F337" s="13" t="s">
        <v>98</v>
      </c>
      <c r="G337" s="11" t="s">
        <v>28</v>
      </c>
      <c r="H337" s="11" t="s">
        <v>27</v>
      </c>
      <c r="I337" s="14" t="s">
        <v>28</v>
      </c>
      <c r="J337" s="14" t="s">
        <v>29</v>
      </c>
      <c r="K337" s="15" t="s">
        <v>30</v>
      </c>
      <c r="L337" s="56" t="s">
        <v>524</v>
      </c>
      <c r="M337" s="14"/>
      <c r="N337" s="14" t="s">
        <v>525</v>
      </c>
      <c r="O337" s="14"/>
      <c r="P337" s="15" t="s">
        <v>279</v>
      </c>
      <c r="Q337" s="16">
        <v>7999</v>
      </c>
      <c r="R337" s="17">
        <v>40</v>
      </c>
      <c r="S337" s="18">
        <v>5519.3099999999995</v>
      </c>
      <c r="T337" s="19" t="s">
        <v>36</v>
      </c>
      <c r="U337" s="20" t="s">
        <v>37</v>
      </c>
      <c r="V337" s="21" t="s">
        <v>38</v>
      </c>
      <c r="W337" s="22">
        <v>1</v>
      </c>
      <c r="X337" s="23"/>
    </row>
    <row r="338" spans="1:24" s="1" customFormat="1" ht="35.1" customHeight="1" x14ac:dyDescent="0.3">
      <c r="A338" s="24" t="s">
        <v>23</v>
      </c>
      <c r="B338" s="24" t="s">
        <v>522</v>
      </c>
      <c r="C338" s="12" t="s">
        <v>523</v>
      </c>
      <c r="D338" s="54"/>
      <c r="E338" s="39" t="str">
        <f>HYPERLINK("https://www.google.ru/search?q=6005899-026&amp;newwindow=1&amp;tbm=isch","Еще фото")</f>
        <v>Еще фото</v>
      </c>
      <c r="F338" s="13" t="s">
        <v>98</v>
      </c>
      <c r="G338" s="24" t="s">
        <v>28</v>
      </c>
      <c r="H338" s="24" t="s">
        <v>27</v>
      </c>
      <c r="I338" s="24" t="s">
        <v>28</v>
      </c>
      <c r="J338" s="14" t="s">
        <v>29</v>
      </c>
      <c r="K338" s="15" t="s">
        <v>30</v>
      </c>
      <c r="L338" s="57"/>
      <c r="M338" s="14"/>
      <c r="N338" s="14" t="s">
        <v>525</v>
      </c>
      <c r="O338" s="14"/>
      <c r="P338" s="15" t="s">
        <v>279</v>
      </c>
      <c r="Q338" s="16">
        <v>7999</v>
      </c>
      <c r="R338" s="17">
        <v>40</v>
      </c>
      <c r="S338" s="18">
        <v>5519.3099999999995</v>
      </c>
      <c r="T338" s="19" t="s">
        <v>36</v>
      </c>
      <c r="U338" s="20" t="s">
        <v>39</v>
      </c>
      <c r="V338" s="21" t="s">
        <v>40</v>
      </c>
      <c r="W338" s="22">
        <v>3</v>
      </c>
      <c r="X338" s="23"/>
    </row>
    <row r="339" spans="1:24" s="1" customFormat="1" ht="36.950000000000003" customHeight="1" x14ac:dyDescent="0.3">
      <c r="A339" s="24" t="s">
        <v>23</v>
      </c>
      <c r="B339" s="24" t="s">
        <v>522</v>
      </c>
      <c r="C339" s="12" t="s">
        <v>523</v>
      </c>
      <c r="D339" s="55"/>
      <c r="E339" s="39" t="str">
        <f>HYPERLINK("https://www.google.ru/search?q=6005899-026&amp;newwindow=1&amp;tbm=isch","Еще фото")</f>
        <v>Еще фото</v>
      </c>
      <c r="F339" s="13" t="s">
        <v>98</v>
      </c>
      <c r="G339" s="24" t="s">
        <v>28</v>
      </c>
      <c r="H339" s="24" t="s">
        <v>27</v>
      </c>
      <c r="I339" s="24" t="s">
        <v>28</v>
      </c>
      <c r="J339" s="14" t="s">
        <v>29</v>
      </c>
      <c r="K339" s="15" t="s">
        <v>30</v>
      </c>
      <c r="L339" s="58"/>
      <c r="M339" s="14"/>
      <c r="N339" s="14" t="s">
        <v>525</v>
      </c>
      <c r="O339" s="14"/>
      <c r="P339" s="15" t="s">
        <v>279</v>
      </c>
      <c r="Q339" s="16">
        <v>7999</v>
      </c>
      <c r="R339" s="17">
        <v>40</v>
      </c>
      <c r="S339" s="18">
        <v>5519.3099999999995</v>
      </c>
      <c r="T339" s="19" t="s">
        <v>36</v>
      </c>
      <c r="U339" s="20" t="s">
        <v>41</v>
      </c>
      <c r="V339" s="21" t="s">
        <v>42</v>
      </c>
      <c r="W339" s="22">
        <v>2</v>
      </c>
      <c r="X339" s="23"/>
    </row>
    <row r="340" spans="1:24" s="1" customFormat="1" ht="35.1" customHeight="1" x14ac:dyDescent="0.3">
      <c r="A340" s="11" t="s">
        <v>23</v>
      </c>
      <c r="B340" s="11" t="s">
        <v>526</v>
      </c>
      <c r="C340" s="12" t="s">
        <v>527</v>
      </c>
      <c r="D340" s="53"/>
      <c r="E340" s="39" t="str">
        <f>HYPERLINK("https://www.google.ru/search?q=6006027-338&amp;newwindow=1&amp;tbm=isch","Еще фото")</f>
        <v>Еще фото</v>
      </c>
      <c r="F340" s="13"/>
      <c r="G340" s="11" t="s">
        <v>63</v>
      </c>
      <c r="H340" s="11" t="s">
        <v>27</v>
      </c>
      <c r="I340" s="14" t="s">
        <v>28</v>
      </c>
      <c r="J340" s="14" t="s">
        <v>29</v>
      </c>
      <c r="K340" s="15" t="s">
        <v>64</v>
      </c>
      <c r="L340" s="56" t="s">
        <v>528</v>
      </c>
      <c r="M340" s="14"/>
      <c r="N340" s="14" t="s">
        <v>125</v>
      </c>
      <c r="O340" s="14"/>
      <c r="P340" s="15" t="s">
        <v>100</v>
      </c>
      <c r="Q340" s="16">
        <v>5799</v>
      </c>
      <c r="R340" s="17">
        <v>40</v>
      </c>
      <c r="S340" s="18">
        <v>4001.31</v>
      </c>
      <c r="T340" s="19" t="s">
        <v>36</v>
      </c>
      <c r="U340" s="20" t="s">
        <v>69</v>
      </c>
      <c r="V340" s="21" t="s">
        <v>70</v>
      </c>
      <c r="W340" s="22">
        <v>7</v>
      </c>
      <c r="X340" s="23"/>
    </row>
    <row r="341" spans="1:24" s="1" customFormat="1" ht="35.1" customHeight="1" x14ac:dyDescent="0.3">
      <c r="A341" s="24" t="s">
        <v>23</v>
      </c>
      <c r="B341" s="24" t="s">
        <v>526</v>
      </c>
      <c r="C341" s="12" t="s">
        <v>527</v>
      </c>
      <c r="D341" s="54"/>
      <c r="E341" s="39" t="str">
        <f>HYPERLINK("https://www.google.ru/search?q=6006027-338&amp;newwindow=1&amp;tbm=isch","Еще фото")</f>
        <v>Еще фото</v>
      </c>
      <c r="F341" s="13"/>
      <c r="G341" s="24" t="s">
        <v>63</v>
      </c>
      <c r="H341" s="24" t="s">
        <v>27</v>
      </c>
      <c r="I341" s="24" t="s">
        <v>28</v>
      </c>
      <c r="J341" s="14" t="s">
        <v>29</v>
      </c>
      <c r="K341" s="15" t="s">
        <v>64</v>
      </c>
      <c r="L341" s="57"/>
      <c r="M341" s="14"/>
      <c r="N341" s="14" t="s">
        <v>125</v>
      </c>
      <c r="O341" s="14"/>
      <c r="P341" s="15" t="s">
        <v>100</v>
      </c>
      <c r="Q341" s="16">
        <v>5799</v>
      </c>
      <c r="R341" s="17">
        <v>40</v>
      </c>
      <c r="S341" s="18">
        <v>4001.31</v>
      </c>
      <c r="T341" s="19" t="s">
        <v>36</v>
      </c>
      <c r="U341" s="20" t="s">
        <v>37</v>
      </c>
      <c r="V341" s="21" t="s">
        <v>86</v>
      </c>
      <c r="W341" s="22">
        <v>1</v>
      </c>
      <c r="X341" s="23"/>
    </row>
    <row r="342" spans="1:24" s="1" customFormat="1" ht="36.950000000000003" customHeight="1" x14ac:dyDescent="0.3">
      <c r="A342" s="24" t="s">
        <v>23</v>
      </c>
      <c r="B342" s="24" t="s">
        <v>526</v>
      </c>
      <c r="C342" s="12" t="s">
        <v>527</v>
      </c>
      <c r="D342" s="55"/>
      <c r="E342" s="39" t="str">
        <f>HYPERLINK("https://www.google.ru/search?q=6006027-338&amp;newwindow=1&amp;tbm=isch","Еще фото")</f>
        <v>Еще фото</v>
      </c>
      <c r="F342" s="13"/>
      <c r="G342" s="24" t="s">
        <v>63</v>
      </c>
      <c r="H342" s="24" t="s">
        <v>27</v>
      </c>
      <c r="I342" s="24" t="s">
        <v>28</v>
      </c>
      <c r="J342" s="14" t="s">
        <v>29</v>
      </c>
      <c r="K342" s="15" t="s">
        <v>64</v>
      </c>
      <c r="L342" s="58"/>
      <c r="M342" s="14"/>
      <c r="N342" s="14" t="s">
        <v>125</v>
      </c>
      <c r="O342" s="14"/>
      <c r="P342" s="15" t="s">
        <v>100</v>
      </c>
      <c r="Q342" s="16">
        <v>5799</v>
      </c>
      <c r="R342" s="17">
        <v>40</v>
      </c>
      <c r="S342" s="18">
        <v>4001.31</v>
      </c>
      <c r="T342" s="19" t="s">
        <v>36</v>
      </c>
      <c r="U342" s="20" t="s">
        <v>41</v>
      </c>
      <c r="V342" s="21" t="s">
        <v>40</v>
      </c>
      <c r="W342" s="22">
        <v>5</v>
      </c>
      <c r="X342" s="23"/>
    </row>
    <row r="343" spans="1:24" s="1" customFormat="1" ht="108" customHeight="1" x14ac:dyDescent="0.3">
      <c r="A343" s="11" t="s">
        <v>23</v>
      </c>
      <c r="B343" s="11" t="s">
        <v>529</v>
      </c>
      <c r="C343" s="12" t="s">
        <v>530</v>
      </c>
      <c r="D343" s="25"/>
      <c r="E343" s="39" t="str">
        <f>HYPERLINK("https://www.google.ru/search?q=6007025-001&amp;newwindow=1&amp;tbm=isch","Еще фото")</f>
        <v>Еще фото</v>
      </c>
      <c r="F343" s="13"/>
      <c r="G343" s="11" t="s">
        <v>28</v>
      </c>
      <c r="H343" s="11" t="s">
        <v>27</v>
      </c>
      <c r="I343" s="14" t="s">
        <v>28</v>
      </c>
      <c r="J343" s="14" t="s">
        <v>47</v>
      </c>
      <c r="K343" s="15" t="s">
        <v>64</v>
      </c>
      <c r="L343" s="14" t="s">
        <v>531</v>
      </c>
      <c r="M343" s="14"/>
      <c r="N343" s="14" t="s">
        <v>33</v>
      </c>
      <c r="O343" s="14"/>
      <c r="P343" s="15" t="s">
        <v>532</v>
      </c>
      <c r="Q343" s="16">
        <v>15799</v>
      </c>
      <c r="R343" s="17">
        <v>40</v>
      </c>
      <c r="S343" s="18">
        <v>10901.31</v>
      </c>
      <c r="T343" s="19" t="s">
        <v>36</v>
      </c>
      <c r="U343" s="20" t="s">
        <v>37</v>
      </c>
      <c r="V343" s="21" t="s">
        <v>86</v>
      </c>
      <c r="W343" s="22">
        <v>1</v>
      </c>
      <c r="X343" s="23"/>
    </row>
    <row r="344" spans="1:24" s="1" customFormat="1" ht="108" customHeight="1" x14ac:dyDescent="0.3">
      <c r="A344" s="11" t="s">
        <v>23</v>
      </c>
      <c r="B344" s="11" t="s">
        <v>529</v>
      </c>
      <c r="C344" s="12" t="s">
        <v>533</v>
      </c>
      <c r="D344" s="25"/>
      <c r="E344" s="39" t="str">
        <f>HYPERLINK("https://www.google.ru/search?q=6007025-110&amp;newwindow=1&amp;tbm=isch","Еще фото")</f>
        <v>Еще фото</v>
      </c>
      <c r="F344" s="13"/>
      <c r="G344" s="11" t="s">
        <v>28</v>
      </c>
      <c r="H344" s="11" t="s">
        <v>27</v>
      </c>
      <c r="I344" s="14" t="s">
        <v>28</v>
      </c>
      <c r="J344" s="14" t="s">
        <v>47</v>
      </c>
      <c r="K344" s="15" t="s">
        <v>64</v>
      </c>
      <c r="L344" s="14" t="s">
        <v>534</v>
      </c>
      <c r="M344" s="14"/>
      <c r="N344" s="14" t="s">
        <v>74</v>
      </c>
      <c r="O344" s="14"/>
      <c r="P344" s="15" t="s">
        <v>532</v>
      </c>
      <c r="Q344" s="16">
        <v>15799</v>
      </c>
      <c r="R344" s="17">
        <v>40</v>
      </c>
      <c r="S344" s="18">
        <v>10901.31</v>
      </c>
      <c r="T344" s="19" t="s">
        <v>36</v>
      </c>
      <c r="U344" s="20" t="s">
        <v>41</v>
      </c>
      <c r="V344" s="21" t="s">
        <v>40</v>
      </c>
      <c r="W344" s="22">
        <v>6</v>
      </c>
      <c r="X344" s="23"/>
    </row>
    <row r="345" spans="1:24" s="1" customFormat="1" ht="51.95" customHeight="1" x14ac:dyDescent="0.3">
      <c r="A345" s="11" t="s">
        <v>23</v>
      </c>
      <c r="B345" s="11" t="s">
        <v>110</v>
      </c>
      <c r="C345" s="12" t="s">
        <v>535</v>
      </c>
      <c r="D345" s="59"/>
      <c r="E345" s="39" t="str">
        <f>HYPERLINK("https://www.google.ru/search?q=6009318-011&amp;newwindow=1&amp;tbm=isch","Еще фото")</f>
        <v>Еще фото</v>
      </c>
      <c r="F345" s="13"/>
      <c r="G345" s="11" t="s">
        <v>28</v>
      </c>
      <c r="H345" s="11" t="s">
        <v>27</v>
      </c>
      <c r="I345" s="14" t="s">
        <v>28</v>
      </c>
      <c r="J345" s="14" t="s">
        <v>47</v>
      </c>
      <c r="K345" s="15" t="s">
        <v>54</v>
      </c>
      <c r="L345" s="56" t="s">
        <v>112</v>
      </c>
      <c r="M345" s="14"/>
      <c r="N345" s="14" t="s">
        <v>84</v>
      </c>
      <c r="O345" s="14"/>
      <c r="P345" s="15" t="s">
        <v>113</v>
      </c>
      <c r="Q345" s="16">
        <v>4899</v>
      </c>
      <c r="R345" s="17">
        <v>40</v>
      </c>
      <c r="S345" s="18">
        <v>3380.31</v>
      </c>
      <c r="T345" s="19" t="s">
        <v>36</v>
      </c>
      <c r="U345" s="20" t="s">
        <v>114</v>
      </c>
      <c r="V345" s="21" t="s">
        <v>115</v>
      </c>
      <c r="W345" s="22">
        <v>4</v>
      </c>
      <c r="X345" s="23"/>
    </row>
    <row r="346" spans="1:24" s="1" customFormat="1" ht="60.95" customHeight="1" x14ac:dyDescent="0.3">
      <c r="A346" s="24" t="s">
        <v>23</v>
      </c>
      <c r="B346" s="24" t="s">
        <v>110</v>
      </c>
      <c r="C346" s="12" t="s">
        <v>535</v>
      </c>
      <c r="D346" s="60"/>
      <c r="E346" s="39" t="str">
        <f>HYPERLINK("https://www.google.ru/search?q=6009318-011&amp;newwindow=1&amp;tbm=isch","Еще фото")</f>
        <v>Еще фото</v>
      </c>
      <c r="F346" s="13"/>
      <c r="G346" s="24" t="s">
        <v>28</v>
      </c>
      <c r="H346" s="24" t="s">
        <v>27</v>
      </c>
      <c r="I346" s="24" t="s">
        <v>28</v>
      </c>
      <c r="J346" s="14" t="s">
        <v>47</v>
      </c>
      <c r="K346" s="15" t="s">
        <v>54</v>
      </c>
      <c r="L346" s="58"/>
      <c r="M346" s="14"/>
      <c r="N346" s="14" t="s">
        <v>84</v>
      </c>
      <c r="O346" s="14"/>
      <c r="P346" s="15" t="s">
        <v>113</v>
      </c>
      <c r="Q346" s="16">
        <v>4899</v>
      </c>
      <c r="R346" s="17">
        <v>40</v>
      </c>
      <c r="S346" s="18">
        <v>3380.31</v>
      </c>
      <c r="T346" s="19" t="s">
        <v>36</v>
      </c>
      <c r="U346" s="20" t="s">
        <v>126</v>
      </c>
      <c r="V346" s="21" t="s">
        <v>127</v>
      </c>
      <c r="W346" s="22">
        <v>5</v>
      </c>
      <c r="X346" s="23"/>
    </row>
    <row r="347" spans="1:24" s="1" customFormat="1" ht="21" customHeight="1" x14ac:dyDescent="0.3">
      <c r="A347" s="11" t="s">
        <v>23</v>
      </c>
      <c r="B347" s="11" t="s">
        <v>110</v>
      </c>
      <c r="C347" s="26" t="s">
        <v>536</v>
      </c>
      <c r="D347" s="53"/>
      <c r="E347" s="39" t="str">
        <f>HYPERLINK("https://www.google.ru/search?q=6009318-425&amp;newwindow=1&amp;tbm=isch","Еще фото")</f>
        <v>Еще фото</v>
      </c>
      <c r="F347" s="13"/>
      <c r="G347" s="11" t="s">
        <v>28</v>
      </c>
      <c r="H347" s="11" t="s">
        <v>27</v>
      </c>
      <c r="I347" s="14" t="s">
        <v>28</v>
      </c>
      <c r="J347" s="14" t="s">
        <v>47</v>
      </c>
      <c r="K347" s="15" t="s">
        <v>54</v>
      </c>
      <c r="L347" s="56"/>
      <c r="M347" s="14"/>
      <c r="N347" s="14" t="s">
        <v>50</v>
      </c>
      <c r="O347" s="14"/>
      <c r="P347" s="15" t="s">
        <v>385</v>
      </c>
      <c r="Q347" s="16">
        <v>4899</v>
      </c>
      <c r="R347" s="17">
        <v>40</v>
      </c>
      <c r="S347" s="18">
        <v>3380.31</v>
      </c>
      <c r="T347" s="19" t="s">
        <v>36</v>
      </c>
      <c r="U347" s="20" t="s">
        <v>114</v>
      </c>
      <c r="V347" s="21" t="s">
        <v>115</v>
      </c>
      <c r="W347" s="22">
        <v>6</v>
      </c>
      <c r="X347" s="23"/>
    </row>
    <row r="348" spans="1:24" s="1" customFormat="1" ht="21" customHeight="1" x14ac:dyDescent="0.3">
      <c r="A348" s="24" t="s">
        <v>23</v>
      </c>
      <c r="B348" s="24" t="s">
        <v>110</v>
      </c>
      <c r="C348" s="27" t="s">
        <v>536</v>
      </c>
      <c r="D348" s="54"/>
      <c r="E348" s="39" t="str">
        <f>HYPERLINK("https://www.google.ru/search?q=6009318-425&amp;newwindow=1&amp;tbm=isch","Еще фото")</f>
        <v>Еще фото</v>
      </c>
      <c r="F348" s="13"/>
      <c r="G348" s="24" t="s">
        <v>28</v>
      </c>
      <c r="H348" s="24" t="s">
        <v>27</v>
      </c>
      <c r="I348" s="24" t="s">
        <v>28</v>
      </c>
      <c r="J348" s="14" t="s">
        <v>47</v>
      </c>
      <c r="K348" s="15" t="s">
        <v>54</v>
      </c>
      <c r="L348" s="57"/>
      <c r="M348" s="14"/>
      <c r="N348" s="14" t="s">
        <v>50</v>
      </c>
      <c r="O348" s="14"/>
      <c r="P348" s="15" t="s">
        <v>385</v>
      </c>
      <c r="Q348" s="16">
        <v>4899</v>
      </c>
      <c r="R348" s="17">
        <v>40</v>
      </c>
      <c r="S348" s="18">
        <v>3380.31</v>
      </c>
      <c r="T348" s="19" t="s">
        <v>36</v>
      </c>
      <c r="U348" s="20" t="s">
        <v>126</v>
      </c>
      <c r="V348" s="21" t="s">
        <v>127</v>
      </c>
      <c r="W348" s="22">
        <v>7</v>
      </c>
      <c r="X348" s="23"/>
    </row>
    <row r="349" spans="1:24" s="1" customFormat="1" ht="21" customHeight="1" x14ac:dyDescent="0.3">
      <c r="A349" s="24" t="s">
        <v>23</v>
      </c>
      <c r="B349" s="24" t="s">
        <v>110</v>
      </c>
      <c r="C349" s="27" t="s">
        <v>536</v>
      </c>
      <c r="D349" s="54"/>
      <c r="E349" s="39" t="str">
        <f>HYPERLINK("https://www.google.ru/search?q=6009318-425&amp;newwindow=1&amp;tbm=isch","Еще фото")</f>
        <v>Еще фото</v>
      </c>
      <c r="F349" s="13"/>
      <c r="G349" s="24" t="s">
        <v>28</v>
      </c>
      <c r="H349" s="24" t="s">
        <v>27</v>
      </c>
      <c r="I349" s="24" t="s">
        <v>28</v>
      </c>
      <c r="J349" s="14" t="s">
        <v>47</v>
      </c>
      <c r="K349" s="15" t="s">
        <v>54</v>
      </c>
      <c r="L349" s="57"/>
      <c r="M349" s="14"/>
      <c r="N349" s="14" t="s">
        <v>50</v>
      </c>
      <c r="O349" s="14"/>
      <c r="P349" s="15" t="s">
        <v>385</v>
      </c>
      <c r="Q349" s="16">
        <v>4899</v>
      </c>
      <c r="R349" s="17">
        <v>40</v>
      </c>
      <c r="S349" s="18">
        <v>3380.31</v>
      </c>
      <c r="T349" s="19" t="s">
        <v>36</v>
      </c>
      <c r="U349" s="20" t="s">
        <v>128</v>
      </c>
      <c r="V349" s="21" t="s">
        <v>129</v>
      </c>
      <c r="W349" s="22">
        <v>7</v>
      </c>
      <c r="X349" s="23"/>
    </row>
    <row r="350" spans="1:24" s="1" customFormat="1" ht="21" customHeight="1" x14ac:dyDescent="0.3">
      <c r="A350" s="24" t="s">
        <v>23</v>
      </c>
      <c r="B350" s="24" t="s">
        <v>110</v>
      </c>
      <c r="C350" s="27" t="s">
        <v>536</v>
      </c>
      <c r="D350" s="54"/>
      <c r="E350" s="39" t="str">
        <f>HYPERLINK("https://www.google.ru/search?q=6009318-425&amp;newwindow=1&amp;tbm=isch","Еще фото")</f>
        <v>Еще фото</v>
      </c>
      <c r="F350" s="13"/>
      <c r="G350" s="24" t="s">
        <v>28</v>
      </c>
      <c r="H350" s="24" t="s">
        <v>27</v>
      </c>
      <c r="I350" s="24" t="s">
        <v>28</v>
      </c>
      <c r="J350" s="14" t="s">
        <v>47</v>
      </c>
      <c r="K350" s="15" t="s">
        <v>54</v>
      </c>
      <c r="L350" s="57"/>
      <c r="M350" s="14"/>
      <c r="N350" s="14" t="s">
        <v>50</v>
      </c>
      <c r="O350" s="14"/>
      <c r="P350" s="15" t="s">
        <v>385</v>
      </c>
      <c r="Q350" s="16">
        <v>4899</v>
      </c>
      <c r="R350" s="17">
        <v>40</v>
      </c>
      <c r="S350" s="18">
        <v>3380.31</v>
      </c>
      <c r="T350" s="19" t="s">
        <v>36</v>
      </c>
      <c r="U350" s="20" t="s">
        <v>59</v>
      </c>
      <c r="V350" s="21" t="s">
        <v>60</v>
      </c>
      <c r="W350" s="22">
        <v>13</v>
      </c>
      <c r="X350" s="23"/>
    </row>
    <row r="351" spans="1:24" s="1" customFormat="1" ht="32.1" customHeight="1" x14ac:dyDescent="0.3">
      <c r="A351" s="24" t="s">
        <v>23</v>
      </c>
      <c r="B351" s="24" t="s">
        <v>110</v>
      </c>
      <c r="C351" s="27" t="s">
        <v>536</v>
      </c>
      <c r="D351" s="55"/>
      <c r="E351" s="39" t="str">
        <f>HYPERLINK("https://www.google.ru/search?q=6009318-425&amp;newwindow=1&amp;tbm=isch","Еще фото")</f>
        <v>Еще фото</v>
      </c>
      <c r="F351" s="13"/>
      <c r="G351" s="24" t="s">
        <v>28</v>
      </c>
      <c r="H351" s="24" t="s">
        <v>27</v>
      </c>
      <c r="I351" s="24" t="s">
        <v>28</v>
      </c>
      <c r="J351" s="14" t="s">
        <v>47</v>
      </c>
      <c r="K351" s="15" t="s">
        <v>54</v>
      </c>
      <c r="L351" s="58"/>
      <c r="M351" s="14"/>
      <c r="N351" s="14" t="s">
        <v>50</v>
      </c>
      <c r="O351" s="14"/>
      <c r="P351" s="15" t="s">
        <v>385</v>
      </c>
      <c r="Q351" s="16">
        <v>4899</v>
      </c>
      <c r="R351" s="17">
        <v>40</v>
      </c>
      <c r="S351" s="18">
        <v>3380.31</v>
      </c>
      <c r="T351" s="19" t="s">
        <v>36</v>
      </c>
      <c r="U351" s="20" t="s">
        <v>130</v>
      </c>
      <c r="V351" s="21" t="s">
        <v>131</v>
      </c>
      <c r="W351" s="22">
        <v>7</v>
      </c>
      <c r="X351" s="23"/>
    </row>
    <row r="352" spans="1:24" s="1" customFormat="1" ht="108" customHeight="1" x14ac:dyDescent="0.3">
      <c r="A352" s="11" t="s">
        <v>23</v>
      </c>
      <c r="B352" s="11" t="s">
        <v>537</v>
      </c>
      <c r="C352" s="12" t="s">
        <v>538</v>
      </c>
      <c r="D352" s="25"/>
      <c r="E352" s="39" t="str">
        <f>HYPERLINK("https://www.google.ru/search?q=6009662-919&amp;newwindow=1&amp;tbm=isch","Еще фото")</f>
        <v>Еще фото</v>
      </c>
      <c r="F352" s="13"/>
      <c r="G352" s="11" t="s">
        <v>28</v>
      </c>
      <c r="H352" s="11" t="s">
        <v>27</v>
      </c>
      <c r="I352" s="14" t="s">
        <v>28</v>
      </c>
      <c r="J352" s="14" t="s">
        <v>47</v>
      </c>
      <c r="K352" s="15" t="s">
        <v>30</v>
      </c>
      <c r="L352" s="14" t="s">
        <v>539</v>
      </c>
      <c r="M352" s="14"/>
      <c r="N352" s="14" t="s">
        <v>125</v>
      </c>
      <c r="O352" s="14"/>
      <c r="P352" s="15" t="s">
        <v>540</v>
      </c>
      <c r="Q352" s="16">
        <v>11099</v>
      </c>
      <c r="R352" s="17">
        <v>40</v>
      </c>
      <c r="S352" s="18">
        <v>7658.3099999999986</v>
      </c>
      <c r="T352" s="19" t="s">
        <v>36</v>
      </c>
      <c r="U352" s="20" t="s">
        <v>41</v>
      </c>
      <c r="V352" s="21" t="s">
        <v>42</v>
      </c>
      <c r="W352" s="22">
        <v>1</v>
      </c>
      <c r="X352" s="23"/>
    </row>
    <row r="353" spans="1:24" s="1" customFormat="1" ht="51.95" customHeight="1" x14ac:dyDescent="0.3">
      <c r="A353" s="11" t="s">
        <v>23</v>
      </c>
      <c r="B353" s="11" t="s">
        <v>541</v>
      </c>
      <c r="C353" s="12" t="s">
        <v>542</v>
      </c>
      <c r="D353" s="59"/>
      <c r="E353" s="39" t="str">
        <f>HYPERLINK("https://www.google.ru/search?q=6009700-008&amp;newwindow=1&amp;tbm=isch","Еще фото")</f>
        <v>Еще фото</v>
      </c>
      <c r="F353" s="13" t="s">
        <v>98</v>
      </c>
      <c r="G353" s="11" t="s">
        <v>28</v>
      </c>
      <c r="H353" s="11" t="s">
        <v>27</v>
      </c>
      <c r="I353" s="14" t="s">
        <v>28</v>
      </c>
      <c r="J353" s="14" t="s">
        <v>47</v>
      </c>
      <c r="K353" s="15" t="s">
        <v>64</v>
      </c>
      <c r="L353" s="56" t="s">
        <v>543</v>
      </c>
      <c r="M353" s="14"/>
      <c r="N353" s="14" t="s">
        <v>33</v>
      </c>
      <c r="O353" s="14"/>
      <c r="P353" s="15" t="s">
        <v>540</v>
      </c>
      <c r="Q353" s="16">
        <v>10999</v>
      </c>
      <c r="R353" s="17">
        <v>40</v>
      </c>
      <c r="S353" s="18">
        <v>7589.3099999999986</v>
      </c>
      <c r="T353" s="19" t="s">
        <v>36</v>
      </c>
      <c r="U353" s="20" t="s">
        <v>69</v>
      </c>
      <c r="V353" s="21" t="s">
        <v>70</v>
      </c>
      <c r="W353" s="22">
        <v>2</v>
      </c>
      <c r="X353" s="23"/>
    </row>
    <row r="354" spans="1:24" s="1" customFormat="1" ht="60.95" customHeight="1" x14ac:dyDescent="0.3">
      <c r="A354" s="24" t="s">
        <v>23</v>
      </c>
      <c r="B354" s="24" t="s">
        <v>541</v>
      </c>
      <c r="C354" s="12" t="s">
        <v>542</v>
      </c>
      <c r="D354" s="60"/>
      <c r="E354" s="39" t="str">
        <f>HYPERLINK("https://www.google.ru/search?q=6009700-008&amp;newwindow=1&amp;tbm=isch","Еще фото")</f>
        <v>Еще фото</v>
      </c>
      <c r="F354" s="13" t="s">
        <v>98</v>
      </c>
      <c r="G354" s="24" t="s">
        <v>28</v>
      </c>
      <c r="H354" s="24" t="s">
        <v>27</v>
      </c>
      <c r="I354" s="24" t="s">
        <v>28</v>
      </c>
      <c r="J354" s="14" t="s">
        <v>47</v>
      </c>
      <c r="K354" s="15" t="s">
        <v>64</v>
      </c>
      <c r="L354" s="58"/>
      <c r="M354" s="14"/>
      <c r="N354" s="14" t="s">
        <v>33</v>
      </c>
      <c r="O354" s="14"/>
      <c r="P354" s="15" t="s">
        <v>540</v>
      </c>
      <c r="Q354" s="16">
        <v>10999</v>
      </c>
      <c r="R354" s="17">
        <v>40</v>
      </c>
      <c r="S354" s="18">
        <v>7589.3099999999986</v>
      </c>
      <c r="T354" s="19" t="s">
        <v>36</v>
      </c>
      <c r="U354" s="20" t="s">
        <v>37</v>
      </c>
      <c r="V354" s="21" t="s">
        <v>86</v>
      </c>
      <c r="W354" s="22">
        <v>1</v>
      </c>
      <c r="X354" s="23"/>
    </row>
    <row r="355" spans="1:24" s="1" customFormat="1" ht="21" customHeight="1" x14ac:dyDescent="0.3">
      <c r="A355" s="11" t="s">
        <v>23</v>
      </c>
      <c r="B355" s="11" t="s">
        <v>199</v>
      </c>
      <c r="C355" s="26" t="s">
        <v>544</v>
      </c>
      <c r="D355" s="53"/>
      <c r="E355" s="39" t="str">
        <f>HYPERLINK("https://www.google.ru/search?q=6009975-466&amp;newwindow=1&amp;tbm=isch","Еще фото")</f>
        <v>Еще фото</v>
      </c>
      <c r="F355" s="13"/>
      <c r="G355" s="11" t="s">
        <v>63</v>
      </c>
      <c r="H355" s="11" t="s">
        <v>27</v>
      </c>
      <c r="I355" s="14" t="s">
        <v>28</v>
      </c>
      <c r="J355" s="14" t="s">
        <v>29</v>
      </c>
      <c r="K355" s="15" t="s">
        <v>54</v>
      </c>
      <c r="L355" s="56"/>
      <c r="M355" s="14"/>
      <c r="N355" s="14" t="s">
        <v>91</v>
      </c>
      <c r="O355" s="14"/>
      <c r="P355" s="15" t="s">
        <v>203</v>
      </c>
      <c r="Q355" s="16">
        <v>4599</v>
      </c>
      <c r="R355" s="17">
        <v>40</v>
      </c>
      <c r="S355" s="18">
        <v>3173.31</v>
      </c>
      <c r="T355" s="19" t="s">
        <v>36</v>
      </c>
      <c r="U355" s="20" t="s">
        <v>114</v>
      </c>
      <c r="V355" s="21" t="s">
        <v>115</v>
      </c>
      <c r="W355" s="22">
        <v>5</v>
      </c>
      <c r="X355" s="23"/>
    </row>
    <row r="356" spans="1:24" s="1" customFormat="1" ht="21" customHeight="1" x14ac:dyDescent="0.3">
      <c r="A356" s="24" t="s">
        <v>23</v>
      </c>
      <c r="B356" s="24" t="s">
        <v>199</v>
      </c>
      <c r="C356" s="27" t="s">
        <v>544</v>
      </c>
      <c r="D356" s="54"/>
      <c r="E356" s="39" t="str">
        <f>HYPERLINK("https://www.google.ru/search?q=6009975-466&amp;newwindow=1&amp;tbm=isch","Еще фото")</f>
        <v>Еще фото</v>
      </c>
      <c r="F356" s="13"/>
      <c r="G356" s="24" t="s">
        <v>63</v>
      </c>
      <c r="H356" s="24" t="s">
        <v>27</v>
      </c>
      <c r="I356" s="24" t="s">
        <v>28</v>
      </c>
      <c r="J356" s="14" t="s">
        <v>29</v>
      </c>
      <c r="K356" s="15" t="s">
        <v>54</v>
      </c>
      <c r="L356" s="57"/>
      <c r="M356" s="14"/>
      <c r="N356" s="14" t="s">
        <v>91</v>
      </c>
      <c r="O356" s="14"/>
      <c r="P356" s="15" t="s">
        <v>203</v>
      </c>
      <c r="Q356" s="16">
        <v>4599</v>
      </c>
      <c r="R356" s="17">
        <v>40</v>
      </c>
      <c r="S356" s="18">
        <v>3173.31</v>
      </c>
      <c r="T356" s="19" t="s">
        <v>36</v>
      </c>
      <c r="U356" s="20" t="s">
        <v>126</v>
      </c>
      <c r="V356" s="21" t="s">
        <v>127</v>
      </c>
      <c r="W356" s="22">
        <v>4</v>
      </c>
      <c r="X356" s="23"/>
    </row>
    <row r="357" spans="1:24" s="1" customFormat="1" ht="21" customHeight="1" x14ac:dyDescent="0.3">
      <c r="A357" s="24" t="s">
        <v>23</v>
      </c>
      <c r="B357" s="24" t="s">
        <v>199</v>
      </c>
      <c r="C357" s="27" t="s">
        <v>544</v>
      </c>
      <c r="D357" s="54"/>
      <c r="E357" s="39" t="str">
        <f>HYPERLINK("https://www.google.ru/search?q=6009975-466&amp;newwindow=1&amp;tbm=isch","Еще фото")</f>
        <v>Еще фото</v>
      </c>
      <c r="F357" s="13"/>
      <c r="G357" s="24" t="s">
        <v>63</v>
      </c>
      <c r="H357" s="24" t="s">
        <v>27</v>
      </c>
      <c r="I357" s="24" t="s">
        <v>28</v>
      </c>
      <c r="J357" s="14" t="s">
        <v>29</v>
      </c>
      <c r="K357" s="15" t="s">
        <v>54</v>
      </c>
      <c r="L357" s="57"/>
      <c r="M357" s="14"/>
      <c r="N357" s="14" t="s">
        <v>91</v>
      </c>
      <c r="O357" s="14"/>
      <c r="P357" s="15" t="s">
        <v>203</v>
      </c>
      <c r="Q357" s="16">
        <v>4599</v>
      </c>
      <c r="R357" s="17">
        <v>40</v>
      </c>
      <c r="S357" s="18">
        <v>3173.31</v>
      </c>
      <c r="T357" s="19" t="s">
        <v>36</v>
      </c>
      <c r="U357" s="20" t="s">
        <v>128</v>
      </c>
      <c r="V357" s="21" t="s">
        <v>129</v>
      </c>
      <c r="W357" s="22">
        <v>5</v>
      </c>
      <c r="X357" s="23"/>
    </row>
    <row r="358" spans="1:24" s="1" customFormat="1" ht="21" customHeight="1" x14ac:dyDescent="0.3">
      <c r="A358" s="24" t="s">
        <v>23</v>
      </c>
      <c r="B358" s="24" t="s">
        <v>199</v>
      </c>
      <c r="C358" s="27" t="s">
        <v>544</v>
      </c>
      <c r="D358" s="54"/>
      <c r="E358" s="39" t="str">
        <f>HYPERLINK("https://www.google.ru/search?q=6009975-466&amp;newwindow=1&amp;tbm=isch","Еще фото")</f>
        <v>Еще фото</v>
      </c>
      <c r="F358" s="13"/>
      <c r="G358" s="24" t="s">
        <v>63</v>
      </c>
      <c r="H358" s="24" t="s">
        <v>27</v>
      </c>
      <c r="I358" s="24" t="s">
        <v>28</v>
      </c>
      <c r="J358" s="14" t="s">
        <v>29</v>
      </c>
      <c r="K358" s="15" t="s">
        <v>54</v>
      </c>
      <c r="L358" s="57"/>
      <c r="M358" s="14"/>
      <c r="N358" s="14" t="s">
        <v>91</v>
      </c>
      <c r="O358" s="14"/>
      <c r="P358" s="15" t="s">
        <v>203</v>
      </c>
      <c r="Q358" s="16">
        <v>4599</v>
      </c>
      <c r="R358" s="17">
        <v>40</v>
      </c>
      <c r="S358" s="18">
        <v>3173.31</v>
      </c>
      <c r="T358" s="19" t="s">
        <v>36</v>
      </c>
      <c r="U358" s="20" t="s">
        <v>59</v>
      </c>
      <c r="V358" s="21" t="s">
        <v>60</v>
      </c>
      <c r="W358" s="22">
        <v>13</v>
      </c>
      <c r="X358" s="23"/>
    </row>
    <row r="359" spans="1:24" s="1" customFormat="1" ht="32.1" customHeight="1" x14ac:dyDescent="0.3">
      <c r="A359" s="24" t="s">
        <v>23</v>
      </c>
      <c r="B359" s="24" t="s">
        <v>199</v>
      </c>
      <c r="C359" s="27" t="s">
        <v>544</v>
      </c>
      <c r="D359" s="55"/>
      <c r="E359" s="39" t="str">
        <f>HYPERLINK("https://www.google.ru/search?q=6009975-466&amp;newwindow=1&amp;tbm=isch","Еще фото")</f>
        <v>Еще фото</v>
      </c>
      <c r="F359" s="13"/>
      <c r="G359" s="24" t="s">
        <v>63</v>
      </c>
      <c r="H359" s="24" t="s">
        <v>27</v>
      </c>
      <c r="I359" s="24" t="s">
        <v>28</v>
      </c>
      <c r="J359" s="14" t="s">
        <v>29</v>
      </c>
      <c r="K359" s="15" t="s">
        <v>54</v>
      </c>
      <c r="L359" s="58"/>
      <c r="M359" s="14"/>
      <c r="N359" s="14" t="s">
        <v>91</v>
      </c>
      <c r="O359" s="14"/>
      <c r="P359" s="15" t="s">
        <v>203</v>
      </c>
      <c r="Q359" s="16">
        <v>4599</v>
      </c>
      <c r="R359" s="17">
        <v>40</v>
      </c>
      <c r="S359" s="18">
        <v>3173.31</v>
      </c>
      <c r="T359" s="19" t="s">
        <v>36</v>
      </c>
      <c r="U359" s="20" t="s">
        <v>130</v>
      </c>
      <c r="V359" s="21" t="s">
        <v>131</v>
      </c>
      <c r="W359" s="22">
        <v>5</v>
      </c>
      <c r="X359" s="23"/>
    </row>
    <row r="360" spans="1:24" s="1" customFormat="1" ht="51.95" customHeight="1" x14ac:dyDescent="0.3">
      <c r="A360" s="11" t="s">
        <v>23</v>
      </c>
      <c r="B360" s="11" t="s">
        <v>545</v>
      </c>
      <c r="C360" s="12" t="s">
        <v>546</v>
      </c>
      <c r="D360" s="59"/>
      <c r="E360" s="39" t="str">
        <f>HYPERLINK("https://www.google.ru/search?q=6010002-019&amp;newwindow=1&amp;tbm=isch","Еще фото")</f>
        <v>Еще фото</v>
      </c>
      <c r="F360" s="13"/>
      <c r="G360" s="11" t="s">
        <v>63</v>
      </c>
      <c r="H360" s="11" t="s">
        <v>27</v>
      </c>
      <c r="I360" s="14" t="s">
        <v>28</v>
      </c>
      <c r="J360" s="14" t="s">
        <v>29</v>
      </c>
      <c r="K360" s="15" t="s">
        <v>64</v>
      </c>
      <c r="L360" s="56" t="s">
        <v>547</v>
      </c>
      <c r="M360" s="14"/>
      <c r="N360" s="14" t="s">
        <v>84</v>
      </c>
      <c r="O360" s="14"/>
      <c r="P360" s="15" t="s">
        <v>279</v>
      </c>
      <c r="Q360" s="16">
        <v>4399</v>
      </c>
      <c r="R360" s="17">
        <v>40</v>
      </c>
      <c r="S360" s="18">
        <v>3035.31</v>
      </c>
      <c r="T360" s="19" t="s">
        <v>36</v>
      </c>
      <c r="U360" s="20" t="s">
        <v>37</v>
      </c>
      <c r="V360" s="21" t="s">
        <v>86</v>
      </c>
      <c r="W360" s="22">
        <v>1</v>
      </c>
      <c r="X360" s="23"/>
    </row>
    <row r="361" spans="1:24" s="1" customFormat="1" ht="60.95" customHeight="1" x14ac:dyDescent="0.3">
      <c r="A361" s="24" t="s">
        <v>23</v>
      </c>
      <c r="B361" s="24" t="s">
        <v>545</v>
      </c>
      <c r="C361" s="12" t="s">
        <v>546</v>
      </c>
      <c r="D361" s="60"/>
      <c r="E361" s="39" t="str">
        <f>HYPERLINK("https://www.google.ru/search?q=6010002-019&amp;newwindow=1&amp;tbm=isch","Еще фото")</f>
        <v>Еще фото</v>
      </c>
      <c r="F361" s="13"/>
      <c r="G361" s="24" t="s">
        <v>63</v>
      </c>
      <c r="H361" s="24" t="s">
        <v>27</v>
      </c>
      <c r="I361" s="24" t="s">
        <v>28</v>
      </c>
      <c r="J361" s="14" t="s">
        <v>29</v>
      </c>
      <c r="K361" s="15" t="s">
        <v>64</v>
      </c>
      <c r="L361" s="58"/>
      <c r="M361" s="14"/>
      <c r="N361" s="14" t="s">
        <v>84</v>
      </c>
      <c r="O361" s="14"/>
      <c r="P361" s="15" t="s">
        <v>279</v>
      </c>
      <c r="Q361" s="16">
        <v>4399</v>
      </c>
      <c r="R361" s="17">
        <v>40</v>
      </c>
      <c r="S361" s="18">
        <v>3035.31</v>
      </c>
      <c r="T361" s="19" t="s">
        <v>36</v>
      </c>
      <c r="U361" s="20" t="s">
        <v>41</v>
      </c>
      <c r="V361" s="21" t="s">
        <v>40</v>
      </c>
      <c r="W361" s="22">
        <v>6</v>
      </c>
      <c r="X361" s="23"/>
    </row>
    <row r="362" spans="1:24" s="1" customFormat="1" ht="51.95" customHeight="1" x14ac:dyDescent="0.3">
      <c r="A362" s="11" t="s">
        <v>23</v>
      </c>
      <c r="B362" s="11" t="s">
        <v>545</v>
      </c>
      <c r="C362" s="12" t="s">
        <v>548</v>
      </c>
      <c r="D362" s="59"/>
      <c r="E362" s="39" t="str">
        <f>HYPERLINK("https://www.google.ru/search?q=6010002-338&amp;newwindow=1&amp;tbm=isch","Еще фото")</f>
        <v>Еще фото</v>
      </c>
      <c r="F362" s="13"/>
      <c r="G362" s="11" t="s">
        <v>63</v>
      </c>
      <c r="H362" s="11" t="s">
        <v>27</v>
      </c>
      <c r="I362" s="14" t="s">
        <v>28</v>
      </c>
      <c r="J362" s="14" t="s">
        <v>29</v>
      </c>
      <c r="K362" s="15" t="s">
        <v>64</v>
      </c>
      <c r="L362" s="56" t="s">
        <v>547</v>
      </c>
      <c r="M362" s="14"/>
      <c r="N362" s="14" t="s">
        <v>125</v>
      </c>
      <c r="O362" s="14"/>
      <c r="P362" s="15" t="s">
        <v>279</v>
      </c>
      <c r="Q362" s="16">
        <v>4399</v>
      </c>
      <c r="R362" s="17">
        <v>40</v>
      </c>
      <c r="S362" s="18">
        <v>3035.31</v>
      </c>
      <c r="T362" s="19" t="s">
        <v>36</v>
      </c>
      <c r="U362" s="20" t="s">
        <v>69</v>
      </c>
      <c r="V362" s="21" t="s">
        <v>70</v>
      </c>
      <c r="W362" s="22">
        <v>3</v>
      </c>
      <c r="X362" s="23"/>
    </row>
    <row r="363" spans="1:24" s="1" customFormat="1" ht="60.95" customHeight="1" x14ac:dyDescent="0.3">
      <c r="A363" s="24" t="s">
        <v>23</v>
      </c>
      <c r="B363" s="24" t="s">
        <v>545</v>
      </c>
      <c r="C363" s="12" t="s">
        <v>548</v>
      </c>
      <c r="D363" s="60"/>
      <c r="E363" s="39" t="str">
        <f>HYPERLINK("https://www.google.ru/search?q=6010002-338&amp;newwindow=1&amp;tbm=isch","Еще фото")</f>
        <v>Еще фото</v>
      </c>
      <c r="F363" s="13"/>
      <c r="G363" s="24" t="s">
        <v>63</v>
      </c>
      <c r="H363" s="24" t="s">
        <v>27</v>
      </c>
      <c r="I363" s="24" t="s">
        <v>28</v>
      </c>
      <c r="J363" s="14" t="s">
        <v>29</v>
      </c>
      <c r="K363" s="15" t="s">
        <v>64</v>
      </c>
      <c r="L363" s="58"/>
      <c r="M363" s="14"/>
      <c r="N363" s="14" t="s">
        <v>125</v>
      </c>
      <c r="O363" s="14"/>
      <c r="P363" s="15" t="s">
        <v>279</v>
      </c>
      <c r="Q363" s="16">
        <v>4399</v>
      </c>
      <c r="R363" s="17">
        <v>40</v>
      </c>
      <c r="S363" s="18">
        <v>3035.31</v>
      </c>
      <c r="T363" s="19" t="s">
        <v>36</v>
      </c>
      <c r="U363" s="20" t="s">
        <v>41</v>
      </c>
      <c r="V363" s="21" t="s">
        <v>40</v>
      </c>
      <c r="W363" s="22">
        <v>7</v>
      </c>
      <c r="X363" s="23"/>
    </row>
    <row r="364" spans="1:24" s="1" customFormat="1" ht="51.95" customHeight="1" x14ac:dyDescent="0.3">
      <c r="A364" s="11" t="s">
        <v>23</v>
      </c>
      <c r="B364" s="11" t="s">
        <v>549</v>
      </c>
      <c r="C364" s="12" t="s">
        <v>550</v>
      </c>
      <c r="D364" s="59"/>
      <c r="E364" s="39" t="str">
        <f>HYPERLINK("https://www.google.ru/search?q=6010009-600&amp;newwindow=1&amp;tbm=isch","Еще фото")</f>
        <v>Еще фото</v>
      </c>
      <c r="F364" s="13"/>
      <c r="G364" s="11" t="s">
        <v>63</v>
      </c>
      <c r="H364" s="11" t="s">
        <v>27</v>
      </c>
      <c r="I364" s="14" t="s">
        <v>28</v>
      </c>
      <c r="J364" s="14" t="s">
        <v>29</v>
      </c>
      <c r="K364" s="15" t="s">
        <v>64</v>
      </c>
      <c r="L364" s="56" t="s">
        <v>551</v>
      </c>
      <c r="M364" s="14"/>
      <c r="N364" s="14" t="s">
        <v>57</v>
      </c>
      <c r="O364" s="14"/>
      <c r="P364" s="15" t="s">
        <v>100</v>
      </c>
      <c r="Q364" s="16">
        <v>4299</v>
      </c>
      <c r="R364" s="17">
        <v>40</v>
      </c>
      <c r="S364" s="18">
        <v>2966.31</v>
      </c>
      <c r="T364" s="19" t="s">
        <v>36</v>
      </c>
      <c r="U364" s="20" t="s">
        <v>39</v>
      </c>
      <c r="V364" s="21" t="s">
        <v>38</v>
      </c>
      <c r="W364" s="22">
        <v>2</v>
      </c>
      <c r="X364" s="23"/>
    </row>
    <row r="365" spans="1:24" s="1" customFormat="1" ht="60.95" customHeight="1" x14ac:dyDescent="0.3">
      <c r="A365" s="24" t="s">
        <v>23</v>
      </c>
      <c r="B365" s="24" t="s">
        <v>549</v>
      </c>
      <c r="C365" s="12" t="s">
        <v>550</v>
      </c>
      <c r="D365" s="60"/>
      <c r="E365" s="39" t="str">
        <f>HYPERLINK("https://www.google.ru/search?q=6010009-600&amp;newwindow=1&amp;tbm=isch","Еще фото")</f>
        <v>Еще фото</v>
      </c>
      <c r="F365" s="13"/>
      <c r="G365" s="24" t="s">
        <v>63</v>
      </c>
      <c r="H365" s="24" t="s">
        <v>27</v>
      </c>
      <c r="I365" s="24" t="s">
        <v>28</v>
      </c>
      <c r="J365" s="14" t="s">
        <v>29</v>
      </c>
      <c r="K365" s="15" t="s">
        <v>64</v>
      </c>
      <c r="L365" s="58"/>
      <c r="M365" s="14"/>
      <c r="N365" s="14" t="s">
        <v>57</v>
      </c>
      <c r="O365" s="14"/>
      <c r="P365" s="15" t="s">
        <v>100</v>
      </c>
      <c r="Q365" s="16">
        <v>4299</v>
      </c>
      <c r="R365" s="17">
        <v>40</v>
      </c>
      <c r="S365" s="18">
        <v>2966.31</v>
      </c>
      <c r="T365" s="19" t="s">
        <v>36</v>
      </c>
      <c r="U365" s="20" t="s">
        <v>41</v>
      </c>
      <c r="V365" s="21" t="s">
        <v>40</v>
      </c>
      <c r="W365" s="22">
        <v>8</v>
      </c>
      <c r="X365" s="23"/>
    </row>
    <row r="366" spans="1:24" s="1" customFormat="1" ht="108" customHeight="1" x14ac:dyDescent="0.3">
      <c r="A366" s="11" t="s">
        <v>23</v>
      </c>
      <c r="B366" s="11" t="s">
        <v>552</v>
      </c>
      <c r="C366" s="12" t="s">
        <v>553</v>
      </c>
      <c r="D366" s="25"/>
      <c r="E366" s="39" t="str">
        <f>HYPERLINK("https://www.google.ru/search?q=6010916-014&amp;newwindow=1&amp;tbm=isch","Еще фото")</f>
        <v>Еще фото</v>
      </c>
      <c r="F366" s="13"/>
      <c r="G366" s="11" t="s">
        <v>28</v>
      </c>
      <c r="H366" s="11" t="s">
        <v>27</v>
      </c>
      <c r="I366" s="14" t="s">
        <v>28</v>
      </c>
      <c r="J366" s="14" t="s">
        <v>47</v>
      </c>
      <c r="K366" s="15" t="s">
        <v>64</v>
      </c>
      <c r="L366" s="14" t="s">
        <v>554</v>
      </c>
      <c r="M366" s="14"/>
      <c r="N366" s="14" t="s">
        <v>84</v>
      </c>
      <c r="O366" s="14"/>
      <c r="P366" s="15" t="s">
        <v>555</v>
      </c>
      <c r="Q366" s="16">
        <v>6699</v>
      </c>
      <c r="R366" s="17">
        <v>40</v>
      </c>
      <c r="S366" s="18">
        <v>4622.3099999999995</v>
      </c>
      <c r="T366" s="19" t="s">
        <v>36</v>
      </c>
      <c r="U366" s="20" t="s">
        <v>37</v>
      </c>
      <c r="V366" s="21" t="s">
        <v>86</v>
      </c>
      <c r="W366" s="22">
        <v>1</v>
      </c>
      <c r="X366" s="23"/>
    </row>
    <row r="367" spans="1:24" s="1" customFormat="1" ht="51.95" customHeight="1" x14ac:dyDescent="0.3">
      <c r="A367" s="11" t="s">
        <v>23</v>
      </c>
      <c r="B367" s="11" t="s">
        <v>556</v>
      </c>
      <c r="C367" s="12" t="s">
        <v>557</v>
      </c>
      <c r="D367" s="59"/>
      <c r="E367" s="39" t="str">
        <f>HYPERLINK("https://www.google.ru/search?q=6011268-025&amp;newwindow=1&amp;tbm=isch","Еще фото")</f>
        <v>Еще фото</v>
      </c>
      <c r="F367" s="13"/>
      <c r="G367" s="11" t="s">
        <v>28</v>
      </c>
      <c r="H367" s="11" t="s">
        <v>27</v>
      </c>
      <c r="I367" s="14" t="s">
        <v>28</v>
      </c>
      <c r="J367" s="14" t="s">
        <v>29</v>
      </c>
      <c r="K367" s="15" t="s">
        <v>30</v>
      </c>
      <c r="L367" s="56"/>
      <c r="M367" s="14"/>
      <c r="N367" s="14" t="s">
        <v>84</v>
      </c>
      <c r="O367" s="14"/>
      <c r="P367" s="15" t="s">
        <v>51</v>
      </c>
      <c r="Q367" s="16">
        <v>6299</v>
      </c>
      <c r="R367" s="17">
        <v>40</v>
      </c>
      <c r="S367" s="18">
        <v>4346.3099999999995</v>
      </c>
      <c r="T367" s="19" t="s">
        <v>36</v>
      </c>
      <c r="U367" s="20" t="s">
        <v>39</v>
      </c>
      <c r="V367" s="21" t="s">
        <v>40</v>
      </c>
      <c r="W367" s="22">
        <v>3</v>
      </c>
      <c r="X367" s="23"/>
    </row>
    <row r="368" spans="1:24" s="1" customFormat="1" ht="60.95" customHeight="1" x14ac:dyDescent="0.3">
      <c r="A368" s="24" t="s">
        <v>23</v>
      </c>
      <c r="B368" s="24" t="s">
        <v>556</v>
      </c>
      <c r="C368" s="12" t="s">
        <v>557</v>
      </c>
      <c r="D368" s="60"/>
      <c r="E368" s="39" t="str">
        <f>HYPERLINK("https://www.google.ru/search?q=6011268-025&amp;newwindow=1&amp;tbm=isch","Еще фото")</f>
        <v>Еще фото</v>
      </c>
      <c r="F368" s="13"/>
      <c r="G368" s="24" t="s">
        <v>28</v>
      </c>
      <c r="H368" s="24" t="s">
        <v>27</v>
      </c>
      <c r="I368" s="24" t="s">
        <v>28</v>
      </c>
      <c r="J368" s="14" t="s">
        <v>29</v>
      </c>
      <c r="K368" s="15" t="s">
        <v>30</v>
      </c>
      <c r="L368" s="58"/>
      <c r="M368" s="14"/>
      <c r="N368" s="14" t="s">
        <v>84</v>
      </c>
      <c r="O368" s="14"/>
      <c r="P368" s="15" t="s">
        <v>51</v>
      </c>
      <c r="Q368" s="16">
        <v>6299</v>
      </c>
      <c r="R368" s="17">
        <v>40</v>
      </c>
      <c r="S368" s="18">
        <v>4346.3099999999995</v>
      </c>
      <c r="T368" s="19" t="s">
        <v>36</v>
      </c>
      <c r="U368" s="20" t="s">
        <v>41</v>
      </c>
      <c r="V368" s="21" t="s">
        <v>42</v>
      </c>
      <c r="W368" s="22">
        <v>2</v>
      </c>
      <c r="X368" s="23"/>
    </row>
    <row r="369" spans="1:24" s="1" customFormat="1" ht="51.95" customHeight="1" x14ac:dyDescent="0.3">
      <c r="A369" s="11" t="s">
        <v>23</v>
      </c>
      <c r="B369" s="11" t="s">
        <v>558</v>
      </c>
      <c r="C369" s="12" t="s">
        <v>559</v>
      </c>
      <c r="D369" s="59"/>
      <c r="E369" s="39" t="str">
        <f>HYPERLINK("https://www.google.ru/search?q=6011400-008&amp;newwindow=1&amp;tbm=isch","Еще фото")</f>
        <v>Еще фото</v>
      </c>
      <c r="F369" s="13"/>
      <c r="G369" s="11" t="s">
        <v>28</v>
      </c>
      <c r="H369" s="11" t="s">
        <v>27</v>
      </c>
      <c r="I369" s="14" t="s">
        <v>28</v>
      </c>
      <c r="J369" s="14" t="s">
        <v>47</v>
      </c>
      <c r="K369" s="15" t="s">
        <v>64</v>
      </c>
      <c r="L369" s="56" t="s">
        <v>560</v>
      </c>
      <c r="M369" s="14"/>
      <c r="N369" s="14" t="s">
        <v>33</v>
      </c>
      <c r="O369" s="14"/>
      <c r="P369" s="15" t="s">
        <v>561</v>
      </c>
      <c r="Q369" s="16">
        <v>8499</v>
      </c>
      <c r="R369" s="17">
        <v>40</v>
      </c>
      <c r="S369" s="18">
        <v>5864.3099999999995</v>
      </c>
      <c r="T369" s="19" t="s">
        <v>36</v>
      </c>
      <c r="U369" s="20" t="s">
        <v>69</v>
      </c>
      <c r="V369" s="21" t="s">
        <v>70</v>
      </c>
      <c r="W369" s="22">
        <v>2</v>
      </c>
      <c r="X369" s="23"/>
    </row>
    <row r="370" spans="1:24" s="1" customFormat="1" ht="60.95" customHeight="1" x14ac:dyDescent="0.3">
      <c r="A370" s="24" t="s">
        <v>23</v>
      </c>
      <c r="B370" s="24" t="s">
        <v>558</v>
      </c>
      <c r="C370" s="12" t="s">
        <v>559</v>
      </c>
      <c r="D370" s="60"/>
      <c r="E370" s="39" t="str">
        <f>HYPERLINK("https://www.google.ru/search?q=6011400-008&amp;newwindow=1&amp;tbm=isch","Еще фото")</f>
        <v>Еще фото</v>
      </c>
      <c r="F370" s="13"/>
      <c r="G370" s="24" t="s">
        <v>28</v>
      </c>
      <c r="H370" s="24" t="s">
        <v>27</v>
      </c>
      <c r="I370" s="24" t="s">
        <v>28</v>
      </c>
      <c r="J370" s="14" t="s">
        <v>47</v>
      </c>
      <c r="K370" s="15" t="s">
        <v>64</v>
      </c>
      <c r="L370" s="58"/>
      <c r="M370" s="14"/>
      <c r="N370" s="14" t="s">
        <v>33</v>
      </c>
      <c r="O370" s="14"/>
      <c r="P370" s="15" t="s">
        <v>561</v>
      </c>
      <c r="Q370" s="16">
        <v>8499</v>
      </c>
      <c r="R370" s="17">
        <v>40</v>
      </c>
      <c r="S370" s="18">
        <v>5864.3099999999995</v>
      </c>
      <c r="T370" s="19" t="s">
        <v>36</v>
      </c>
      <c r="U370" s="20" t="s">
        <v>39</v>
      </c>
      <c r="V370" s="21" t="s">
        <v>38</v>
      </c>
      <c r="W370" s="22">
        <v>3</v>
      </c>
      <c r="X370" s="23"/>
    </row>
    <row r="371" spans="1:24" s="1" customFormat="1" ht="35.1" customHeight="1" x14ac:dyDescent="0.3">
      <c r="A371" s="11" t="s">
        <v>23</v>
      </c>
      <c r="B371" s="11" t="s">
        <v>558</v>
      </c>
      <c r="C371" s="12" t="s">
        <v>562</v>
      </c>
      <c r="D371" s="53"/>
      <c r="E371" s="39" t="str">
        <f>HYPERLINK("https://www.google.ru/search?q=6011400-110&amp;newwindow=1&amp;tbm=isch","Еще фото")</f>
        <v>Еще фото</v>
      </c>
      <c r="F371" s="13"/>
      <c r="G371" s="11" t="s">
        <v>28</v>
      </c>
      <c r="H371" s="11" t="s">
        <v>27</v>
      </c>
      <c r="I371" s="14" t="s">
        <v>28</v>
      </c>
      <c r="J371" s="14" t="s">
        <v>47</v>
      </c>
      <c r="K371" s="15" t="s">
        <v>64</v>
      </c>
      <c r="L371" s="56" t="s">
        <v>560</v>
      </c>
      <c r="M371" s="14"/>
      <c r="N371" s="14" t="s">
        <v>215</v>
      </c>
      <c r="O371" s="14"/>
      <c r="P371" s="15" t="s">
        <v>561</v>
      </c>
      <c r="Q371" s="16">
        <v>8499</v>
      </c>
      <c r="R371" s="17">
        <v>40</v>
      </c>
      <c r="S371" s="18">
        <v>5864.3099999999995</v>
      </c>
      <c r="T371" s="19" t="s">
        <v>36</v>
      </c>
      <c r="U371" s="20" t="s">
        <v>69</v>
      </c>
      <c r="V371" s="21" t="s">
        <v>70</v>
      </c>
      <c r="W371" s="22">
        <v>1</v>
      </c>
      <c r="X371" s="23"/>
    </row>
    <row r="372" spans="1:24" s="1" customFormat="1" ht="35.1" customHeight="1" x14ac:dyDescent="0.3">
      <c r="A372" s="24" t="s">
        <v>23</v>
      </c>
      <c r="B372" s="24" t="s">
        <v>558</v>
      </c>
      <c r="C372" s="12" t="s">
        <v>562</v>
      </c>
      <c r="D372" s="54"/>
      <c r="E372" s="39" t="str">
        <f>HYPERLINK("https://www.google.ru/search?q=6011400-110&amp;newwindow=1&amp;tbm=isch","Еще фото")</f>
        <v>Еще фото</v>
      </c>
      <c r="F372" s="13"/>
      <c r="G372" s="24" t="s">
        <v>28</v>
      </c>
      <c r="H372" s="24" t="s">
        <v>27</v>
      </c>
      <c r="I372" s="24" t="s">
        <v>28</v>
      </c>
      <c r="J372" s="14" t="s">
        <v>47</v>
      </c>
      <c r="K372" s="15" t="s">
        <v>64</v>
      </c>
      <c r="L372" s="57"/>
      <c r="M372" s="14"/>
      <c r="N372" s="14" t="s">
        <v>215</v>
      </c>
      <c r="O372" s="14"/>
      <c r="P372" s="15" t="s">
        <v>561</v>
      </c>
      <c r="Q372" s="16">
        <v>8499</v>
      </c>
      <c r="R372" s="17">
        <v>40</v>
      </c>
      <c r="S372" s="18">
        <v>5864.3099999999995</v>
      </c>
      <c r="T372" s="19" t="s">
        <v>36</v>
      </c>
      <c r="U372" s="20" t="s">
        <v>37</v>
      </c>
      <c r="V372" s="21" t="s">
        <v>86</v>
      </c>
      <c r="W372" s="22">
        <v>1</v>
      </c>
      <c r="X372" s="23"/>
    </row>
    <row r="373" spans="1:24" s="1" customFormat="1" ht="36.950000000000003" customHeight="1" x14ac:dyDescent="0.3">
      <c r="A373" s="24" t="s">
        <v>23</v>
      </c>
      <c r="B373" s="24" t="s">
        <v>558</v>
      </c>
      <c r="C373" s="12" t="s">
        <v>562</v>
      </c>
      <c r="D373" s="55"/>
      <c r="E373" s="39" t="str">
        <f>HYPERLINK("https://www.google.ru/search?q=6011400-110&amp;newwindow=1&amp;tbm=isch","Еще фото")</f>
        <v>Еще фото</v>
      </c>
      <c r="F373" s="13"/>
      <c r="G373" s="24" t="s">
        <v>28</v>
      </c>
      <c r="H373" s="24" t="s">
        <v>27</v>
      </c>
      <c r="I373" s="24" t="s">
        <v>28</v>
      </c>
      <c r="J373" s="14" t="s">
        <v>47</v>
      </c>
      <c r="K373" s="15" t="s">
        <v>64</v>
      </c>
      <c r="L373" s="58"/>
      <c r="M373" s="14"/>
      <c r="N373" s="14" t="s">
        <v>215</v>
      </c>
      <c r="O373" s="14"/>
      <c r="P373" s="15" t="s">
        <v>561</v>
      </c>
      <c r="Q373" s="16">
        <v>8499</v>
      </c>
      <c r="R373" s="17">
        <v>40</v>
      </c>
      <c r="S373" s="18">
        <v>5864.3099999999995</v>
      </c>
      <c r="T373" s="19" t="s">
        <v>36</v>
      </c>
      <c r="U373" s="20" t="s">
        <v>41</v>
      </c>
      <c r="V373" s="21" t="s">
        <v>40</v>
      </c>
      <c r="W373" s="22">
        <v>3</v>
      </c>
      <c r="X373" s="23"/>
    </row>
    <row r="374" spans="1:24" s="1" customFormat="1" ht="51.95" customHeight="1" x14ac:dyDescent="0.3">
      <c r="A374" s="11" t="s">
        <v>23</v>
      </c>
      <c r="B374" s="11" t="s">
        <v>563</v>
      </c>
      <c r="C374" s="12" t="s">
        <v>564</v>
      </c>
      <c r="D374" s="59"/>
      <c r="E374" s="39" t="str">
        <f>HYPERLINK("https://www.google.ru/search?q=6012293-011&amp;newwindow=1&amp;tbm=isch","Еще фото")</f>
        <v>Еще фото</v>
      </c>
      <c r="F374" s="13"/>
      <c r="G374" s="11" t="s">
        <v>28</v>
      </c>
      <c r="H374" s="11" t="s">
        <v>27</v>
      </c>
      <c r="I374" s="14" t="s">
        <v>28</v>
      </c>
      <c r="J374" s="14" t="s">
        <v>47</v>
      </c>
      <c r="K374" s="15" t="s">
        <v>64</v>
      </c>
      <c r="L374" s="56" t="s">
        <v>565</v>
      </c>
      <c r="M374" s="14"/>
      <c r="N374" s="14" t="s">
        <v>84</v>
      </c>
      <c r="O374" s="14"/>
      <c r="P374" s="15" t="s">
        <v>113</v>
      </c>
      <c r="Q374" s="16">
        <v>6599</v>
      </c>
      <c r="R374" s="17">
        <v>40</v>
      </c>
      <c r="S374" s="18">
        <v>4553.3099999999995</v>
      </c>
      <c r="T374" s="19" t="s">
        <v>36</v>
      </c>
      <c r="U374" s="20" t="s">
        <v>39</v>
      </c>
      <c r="V374" s="21" t="s">
        <v>38</v>
      </c>
      <c r="W374" s="22">
        <v>2</v>
      </c>
      <c r="X374" s="23"/>
    </row>
    <row r="375" spans="1:24" s="1" customFormat="1" ht="60.95" customHeight="1" x14ac:dyDescent="0.3">
      <c r="A375" s="24" t="s">
        <v>23</v>
      </c>
      <c r="B375" s="24" t="s">
        <v>563</v>
      </c>
      <c r="C375" s="12" t="s">
        <v>564</v>
      </c>
      <c r="D375" s="60"/>
      <c r="E375" s="39" t="str">
        <f>HYPERLINK("https://www.google.ru/search?q=6012293-011&amp;newwindow=1&amp;tbm=isch","Еще фото")</f>
        <v>Еще фото</v>
      </c>
      <c r="F375" s="13"/>
      <c r="G375" s="24" t="s">
        <v>28</v>
      </c>
      <c r="H375" s="24" t="s">
        <v>27</v>
      </c>
      <c r="I375" s="24" t="s">
        <v>28</v>
      </c>
      <c r="J375" s="14" t="s">
        <v>47</v>
      </c>
      <c r="K375" s="15" t="s">
        <v>64</v>
      </c>
      <c r="L375" s="58"/>
      <c r="M375" s="14"/>
      <c r="N375" s="14" t="s">
        <v>84</v>
      </c>
      <c r="O375" s="14"/>
      <c r="P375" s="15" t="s">
        <v>113</v>
      </c>
      <c r="Q375" s="16">
        <v>6599</v>
      </c>
      <c r="R375" s="17">
        <v>40</v>
      </c>
      <c r="S375" s="18">
        <v>4553.3099999999995</v>
      </c>
      <c r="T375" s="19" t="s">
        <v>36</v>
      </c>
      <c r="U375" s="20" t="s">
        <v>41</v>
      </c>
      <c r="V375" s="21" t="s">
        <v>40</v>
      </c>
      <c r="W375" s="22">
        <v>1</v>
      </c>
      <c r="X375" s="23"/>
    </row>
    <row r="376" spans="1:24" s="1" customFormat="1" ht="21" customHeight="1" x14ac:dyDescent="0.3">
      <c r="A376" s="11" t="s">
        <v>23</v>
      </c>
      <c r="B376" s="11" t="s">
        <v>137</v>
      </c>
      <c r="C376" s="26" t="s">
        <v>566</v>
      </c>
      <c r="D376" s="53"/>
      <c r="E376" s="39" t="str">
        <f>HYPERLINK("https://www.google.ru/search?q=6012636-870&amp;newwindow=1&amp;tbm=isch","Еще фото")</f>
        <v>Еще фото</v>
      </c>
      <c r="F376" s="13"/>
      <c r="G376" s="11" t="s">
        <v>63</v>
      </c>
      <c r="H376" s="11" t="s">
        <v>27</v>
      </c>
      <c r="I376" s="14" t="s">
        <v>28</v>
      </c>
      <c r="J376" s="14" t="s">
        <v>29</v>
      </c>
      <c r="K376" s="15" t="s">
        <v>54</v>
      </c>
      <c r="L376" s="56"/>
      <c r="M376" s="14"/>
      <c r="N376" s="14" t="s">
        <v>434</v>
      </c>
      <c r="O376" s="14"/>
      <c r="P376" s="15" t="s">
        <v>141</v>
      </c>
      <c r="Q376" s="16">
        <v>4799</v>
      </c>
      <c r="R376" s="17">
        <v>40</v>
      </c>
      <c r="S376" s="18">
        <v>3311.31</v>
      </c>
      <c r="T376" s="19" t="s">
        <v>36</v>
      </c>
      <c r="U376" s="20" t="s">
        <v>114</v>
      </c>
      <c r="V376" s="21" t="s">
        <v>115</v>
      </c>
      <c r="W376" s="22">
        <v>5</v>
      </c>
      <c r="X376" s="23"/>
    </row>
    <row r="377" spans="1:24" s="1" customFormat="1" ht="21" customHeight="1" x14ac:dyDescent="0.3">
      <c r="A377" s="24" t="s">
        <v>23</v>
      </c>
      <c r="B377" s="24" t="s">
        <v>137</v>
      </c>
      <c r="C377" s="27" t="s">
        <v>566</v>
      </c>
      <c r="D377" s="54"/>
      <c r="E377" s="39" t="str">
        <f>HYPERLINK("https://www.google.ru/search?q=6012636-870&amp;newwindow=1&amp;tbm=isch","Еще фото")</f>
        <v>Еще фото</v>
      </c>
      <c r="F377" s="13"/>
      <c r="G377" s="24" t="s">
        <v>63</v>
      </c>
      <c r="H377" s="24" t="s">
        <v>27</v>
      </c>
      <c r="I377" s="24" t="s">
        <v>28</v>
      </c>
      <c r="J377" s="14" t="s">
        <v>29</v>
      </c>
      <c r="K377" s="15" t="s">
        <v>54</v>
      </c>
      <c r="L377" s="57"/>
      <c r="M377" s="14"/>
      <c r="N377" s="14" t="s">
        <v>434</v>
      </c>
      <c r="O377" s="14"/>
      <c r="P377" s="15" t="s">
        <v>141</v>
      </c>
      <c r="Q377" s="16">
        <v>4799</v>
      </c>
      <c r="R377" s="17">
        <v>40</v>
      </c>
      <c r="S377" s="18">
        <v>3311.31</v>
      </c>
      <c r="T377" s="19" t="s">
        <v>36</v>
      </c>
      <c r="U377" s="20" t="s">
        <v>126</v>
      </c>
      <c r="V377" s="21" t="s">
        <v>127</v>
      </c>
      <c r="W377" s="22">
        <v>5</v>
      </c>
      <c r="X377" s="23"/>
    </row>
    <row r="378" spans="1:24" s="1" customFormat="1" ht="21" customHeight="1" x14ac:dyDescent="0.3">
      <c r="A378" s="24" t="s">
        <v>23</v>
      </c>
      <c r="B378" s="24" t="s">
        <v>137</v>
      </c>
      <c r="C378" s="27" t="s">
        <v>566</v>
      </c>
      <c r="D378" s="54"/>
      <c r="E378" s="39" t="str">
        <f>HYPERLINK("https://www.google.ru/search?q=6012636-870&amp;newwindow=1&amp;tbm=isch","Еще фото")</f>
        <v>Еще фото</v>
      </c>
      <c r="F378" s="13"/>
      <c r="G378" s="24" t="s">
        <v>63</v>
      </c>
      <c r="H378" s="24" t="s">
        <v>27</v>
      </c>
      <c r="I378" s="24" t="s">
        <v>28</v>
      </c>
      <c r="J378" s="14" t="s">
        <v>29</v>
      </c>
      <c r="K378" s="15" t="s">
        <v>54</v>
      </c>
      <c r="L378" s="57"/>
      <c r="M378" s="14"/>
      <c r="N378" s="14" t="s">
        <v>434</v>
      </c>
      <c r="O378" s="14"/>
      <c r="P378" s="15" t="s">
        <v>141</v>
      </c>
      <c r="Q378" s="16">
        <v>4799</v>
      </c>
      <c r="R378" s="17">
        <v>40</v>
      </c>
      <c r="S378" s="18">
        <v>3311.31</v>
      </c>
      <c r="T378" s="19" t="s">
        <v>36</v>
      </c>
      <c r="U378" s="20" t="s">
        <v>128</v>
      </c>
      <c r="V378" s="21" t="s">
        <v>129</v>
      </c>
      <c r="W378" s="22">
        <v>7</v>
      </c>
      <c r="X378" s="23"/>
    </row>
    <row r="379" spans="1:24" s="1" customFormat="1" ht="21" customHeight="1" x14ac:dyDescent="0.3">
      <c r="A379" s="24" t="s">
        <v>23</v>
      </c>
      <c r="B379" s="24" t="s">
        <v>137</v>
      </c>
      <c r="C379" s="27" t="s">
        <v>566</v>
      </c>
      <c r="D379" s="54"/>
      <c r="E379" s="39" t="str">
        <f>HYPERLINK("https://www.google.ru/search?q=6012636-870&amp;newwindow=1&amp;tbm=isch","Еще фото")</f>
        <v>Еще фото</v>
      </c>
      <c r="F379" s="13"/>
      <c r="G379" s="24" t="s">
        <v>63</v>
      </c>
      <c r="H379" s="24" t="s">
        <v>27</v>
      </c>
      <c r="I379" s="24" t="s">
        <v>28</v>
      </c>
      <c r="J379" s="14" t="s">
        <v>29</v>
      </c>
      <c r="K379" s="15" t="s">
        <v>54</v>
      </c>
      <c r="L379" s="57"/>
      <c r="M379" s="14"/>
      <c r="N379" s="14" t="s">
        <v>434</v>
      </c>
      <c r="O379" s="14"/>
      <c r="P379" s="15" t="s">
        <v>141</v>
      </c>
      <c r="Q379" s="16">
        <v>4799</v>
      </c>
      <c r="R379" s="17">
        <v>40</v>
      </c>
      <c r="S379" s="18">
        <v>3311.31</v>
      </c>
      <c r="T379" s="19" t="s">
        <v>36</v>
      </c>
      <c r="U379" s="20" t="s">
        <v>59</v>
      </c>
      <c r="V379" s="21" t="s">
        <v>60</v>
      </c>
      <c r="W379" s="22">
        <v>13</v>
      </c>
      <c r="X379" s="23"/>
    </row>
    <row r="380" spans="1:24" s="1" customFormat="1" ht="32.1" customHeight="1" x14ac:dyDescent="0.3">
      <c r="A380" s="24" t="s">
        <v>23</v>
      </c>
      <c r="B380" s="24" t="s">
        <v>137</v>
      </c>
      <c r="C380" s="27" t="s">
        <v>566</v>
      </c>
      <c r="D380" s="55"/>
      <c r="E380" s="39" t="str">
        <f>HYPERLINK("https://www.google.ru/search?q=6012636-870&amp;newwindow=1&amp;tbm=isch","Еще фото")</f>
        <v>Еще фото</v>
      </c>
      <c r="F380" s="13"/>
      <c r="G380" s="24" t="s">
        <v>63</v>
      </c>
      <c r="H380" s="24" t="s">
        <v>27</v>
      </c>
      <c r="I380" s="24" t="s">
        <v>28</v>
      </c>
      <c r="J380" s="14" t="s">
        <v>29</v>
      </c>
      <c r="K380" s="15" t="s">
        <v>54</v>
      </c>
      <c r="L380" s="58"/>
      <c r="M380" s="14"/>
      <c r="N380" s="14" t="s">
        <v>434</v>
      </c>
      <c r="O380" s="14"/>
      <c r="P380" s="15" t="s">
        <v>141</v>
      </c>
      <c r="Q380" s="16">
        <v>4799</v>
      </c>
      <c r="R380" s="17">
        <v>40</v>
      </c>
      <c r="S380" s="18">
        <v>3311.31</v>
      </c>
      <c r="T380" s="19" t="s">
        <v>36</v>
      </c>
      <c r="U380" s="20" t="s">
        <v>130</v>
      </c>
      <c r="V380" s="21" t="s">
        <v>131</v>
      </c>
      <c r="W380" s="22">
        <v>7</v>
      </c>
      <c r="X380" s="23"/>
    </row>
    <row r="381" spans="1:24" s="1" customFormat="1" ht="21" customHeight="1" x14ac:dyDescent="0.3">
      <c r="A381" s="11" t="s">
        <v>23</v>
      </c>
      <c r="B381" s="11" t="s">
        <v>567</v>
      </c>
      <c r="C381" s="26" t="s">
        <v>568</v>
      </c>
      <c r="D381" s="53"/>
      <c r="E381" s="39" t="str">
        <f>HYPERLINK("https://www.google.ru/search?q=6012792-712&amp;newwindow=1&amp;tbm=isch","Еще фото")</f>
        <v>Еще фото</v>
      </c>
      <c r="F381" s="13" t="s">
        <v>98</v>
      </c>
      <c r="G381" s="11" t="s">
        <v>63</v>
      </c>
      <c r="H381" s="11" t="s">
        <v>27</v>
      </c>
      <c r="I381" s="14" t="s">
        <v>28</v>
      </c>
      <c r="J381" s="14" t="s">
        <v>29</v>
      </c>
      <c r="K381" s="15" t="s">
        <v>64</v>
      </c>
      <c r="L381" s="56" t="s">
        <v>569</v>
      </c>
      <c r="M381" s="14"/>
      <c r="N381" s="14" t="s">
        <v>125</v>
      </c>
      <c r="O381" s="14"/>
      <c r="P381" s="15" t="s">
        <v>265</v>
      </c>
      <c r="Q381" s="16">
        <v>5699</v>
      </c>
      <c r="R381" s="17">
        <v>40</v>
      </c>
      <c r="S381" s="18">
        <v>3932.31</v>
      </c>
      <c r="T381" s="19" t="s">
        <v>36</v>
      </c>
      <c r="U381" s="20" t="s">
        <v>69</v>
      </c>
      <c r="V381" s="21" t="s">
        <v>70</v>
      </c>
      <c r="W381" s="22">
        <v>19</v>
      </c>
      <c r="X381" s="23"/>
    </row>
    <row r="382" spans="1:24" s="1" customFormat="1" ht="21" customHeight="1" x14ac:dyDescent="0.3">
      <c r="A382" s="24" t="s">
        <v>23</v>
      </c>
      <c r="B382" s="24" t="s">
        <v>567</v>
      </c>
      <c r="C382" s="27" t="s">
        <v>568</v>
      </c>
      <c r="D382" s="54"/>
      <c r="E382" s="39" t="str">
        <f>HYPERLINK("https://www.google.ru/search?q=6012792-712&amp;newwindow=1&amp;tbm=isch","Еще фото")</f>
        <v>Еще фото</v>
      </c>
      <c r="F382" s="13" t="s">
        <v>98</v>
      </c>
      <c r="G382" s="24" t="s">
        <v>63</v>
      </c>
      <c r="H382" s="24" t="s">
        <v>27</v>
      </c>
      <c r="I382" s="24" t="s">
        <v>28</v>
      </c>
      <c r="J382" s="14" t="s">
        <v>29</v>
      </c>
      <c r="K382" s="15" t="s">
        <v>64</v>
      </c>
      <c r="L382" s="57"/>
      <c r="M382" s="14"/>
      <c r="N382" s="14" t="s">
        <v>125</v>
      </c>
      <c r="O382" s="14"/>
      <c r="P382" s="15" t="s">
        <v>265</v>
      </c>
      <c r="Q382" s="16">
        <v>5699</v>
      </c>
      <c r="R382" s="17">
        <v>40</v>
      </c>
      <c r="S382" s="18">
        <v>3932.31</v>
      </c>
      <c r="T382" s="19" t="s">
        <v>36</v>
      </c>
      <c r="U382" s="20" t="s">
        <v>37</v>
      </c>
      <c r="V382" s="21" t="s">
        <v>86</v>
      </c>
      <c r="W382" s="22">
        <v>19</v>
      </c>
      <c r="X382" s="23"/>
    </row>
    <row r="383" spans="1:24" s="1" customFormat="1" ht="21" customHeight="1" x14ac:dyDescent="0.3">
      <c r="A383" s="24" t="s">
        <v>23</v>
      </c>
      <c r="B383" s="24" t="s">
        <v>567</v>
      </c>
      <c r="C383" s="27" t="s">
        <v>568</v>
      </c>
      <c r="D383" s="54"/>
      <c r="E383" s="39" t="str">
        <f>HYPERLINK("https://www.google.ru/search?q=6012792-712&amp;newwindow=1&amp;tbm=isch","Еще фото")</f>
        <v>Еще фото</v>
      </c>
      <c r="F383" s="13" t="s">
        <v>98</v>
      </c>
      <c r="G383" s="24" t="s">
        <v>63</v>
      </c>
      <c r="H383" s="24" t="s">
        <v>27</v>
      </c>
      <c r="I383" s="24" t="s">
        <v>28</v>
      </c>
      <c r="J383" s="14" t="s">
        <v>29</v>
      </c>
      <c r="K383" s="15" t="s">
        <v>64</v>
      </c>
      <c r="L383" s="57"/>
      <c r="M383" s="14"/>
      <c r="N383" s="14" t="s">
        <v>125</v>
      </c>
      <c r="O383" s="14"/>
      <c r="P383" s="15" t="s">
        <v>265</v>
      </c>
      <c r="Q383" s="16">
        <v>5699</v>
      </c>
      <c r="R383" s="17">
        <v>40</v>
      </c>
      <c r="S383" s="18">
        <v>3932.31</v>
      </c>
      <c r="T383" s="19" t="s">
        <v>36</v>
      </c>
      <c r="U383" s="20" t="s">
        <v>39</v>
      </c>
      <c r="V383" s="21" t="s">
        <v>38</v>
      </c>
      <c r="W383" s="22">
        <v>13</v>
      </c>
      <c r="X383" s="23"/>
    </row>
    <row r="384" spans="1:24" s="1" customFormat="1" ht="21" customHeight="1" x14ac:dyDescent="0.3">
      <c r="A384" s="24" t="s">
        <v>23</v>
      </c>
      <c r="B384" s="24" t="s">
        <v>567</v>
      </c>
      <c r="C384" s="27" t="s">
        <v>568</v>
      </c>
      <c r="D384" s="54"/>
      <c r="E384" s="39" t="str">
        <f>HYPERLINK("https://www.google.ru/search?q=6012792-712&amp;newwindow=1&amp;tbm=isch","Еще фото")</f>
        <v>Еще фото</v>
      </c>
      <c r="F384" s="13" t="s">
        <v>98</v>
      </c>
      <c r="G384" s="24" t="s">
        <v>63</v>
      </c>
      <c r="H384" s="24" t="s">
        <v>27</v>
      </c>
      <c r="I384" s="24" t="s">
        <v>28</v>
      </c>
      <c r="J384" s="14" t="s">
        <v>29</v>
      </c>
      <c r="K384" s="15" t="s">
        <v>64</v>
      </c>
      <c r="L384" s="57"/>
      <c r="M384" s="14"/>
      <c r="N384" s="14" t="s">
        <v>125</v>
      </c>
      <c r="O384" s="14"/>
      <c r="P384" s="15" t="s">
        <v>265</v>
      </c>
      <c r="Q384" s="16">
        <v>5699</v>
      </c>
      <c r="R384" s="17">
        <v>40</v>
      </c>
      <c r="S384" s="18">
        <v>3932.31</v>
      </c>
      <c r="T384" s="19" t="s">
        <v>36</v>
      </c>
      <c r="U384" s="20" t="s">
        <v>41</v>
      </c>
      <c r="V384" s="21" t="s">
        <v>40</v>
      </c>
      <c r="W384" s="22">
        <v>21</v>
      </c>
      <c r="X384" s="23"/>
    </row>
    <row r="385" spans="1:24" s="1" customFormat="1" ht="32.1" customHeight="1" x14ac:dyDescent="0.3">
      <c r="A385" s="24" t="s">
        <v>23</v>
      </c>
      <c r="B385" s="24" t="s">
        <v>567</v>
      </c>
      <c r="C385" s="27" t="s">
        <v>568</v>
      </c>
      <c r="D385" s="55"/>
      <c r="E385" s="39" t="str">
        <f>HYPERLINK("https://www.google.ru/search?q=6012792-712&amp;newwindow=1&amp;tbm=isch","Еще фото")</f>
        <v>Еще фото</v>
      </c>
      <c r="F385" s="13" t="s">
        <v>98</v>
      </c>
      <c r="G385" s="24" t="s">
        <v>63</v>
      </c>
      <c r="H385" s="24" t="s">
        <v>27</v>
      </c>
      <c r="I385" s="24" t="s">
        <v>28</v>
      </c>
      <c r="J385" s="14" t="s">
        <v>29</v>
      </c>
      <c r="K385" s="15" t="s">
        <v>64</v>
      </c>
      <c r="L385" s="58"/>
      <c r="M385" s="14"/>
      <c r="N385" s="14" t="s">
        <v>125</v>
      </c>
      <c r="O385" s="14"/>
      <c r="P385" s="15" t="s">
        <v>265</v>
      </c>
      <c r="Q385" s="16">
        <v>5699</v>
      </c>
      <c r="R385" s="17">
        <v>40</v>
      </c>
      <c r="S385" s="18">
        <v>3932.31</v>
      </c>
      <c r="T385" s="19" t="s">
        <v>36</v>
      </c>
      <c r="U385" s="20" t="s">
        <v>43</v>
      </c>
      <c r="V385" s="21" t="s">
        <v>42</v>
      </c>
      <c r="W385" s="22">
        <v>11</v>
      </c>
      <c r="X385" s="23"/>
    </row>
    <row r="386" spans="1:24" s="1" customFormat="1" ht="26.1" customHeight="1" x14ac:dyDescent="0.3">
      <c r="A386" s="11" t="s">
        <v>23</v>
      </c>
      <c r="B386" s="11" t="s">
        <v>570</v>
      </c>
      <c r="C386" s="12" t="s">
        <v>571</v>
      </c>
      <c r="D386" s="53"/>
      <c r="E386" s="39" t="str">
        <f>HYPERLINK("https://www.google.ru/search?q=6014688-338&amp;newwindow=1&amp;tbm=isch","Еще фото")</f>
        <v>Еще фото</v>
      </c>
      <c r="F386" s="13"/>
      <c r="G386" s="11" t="s">
        <v>28</v>
      </c>
      <c r="H386" s="11" t="s">
        <v>27</v>
      </c>
      <c r="I386" s="14" t="s">
        <v>28</v>
      </c>
      <c r="J386" s="14" t="s">
        <v>47</v>
      </c>
      <c r="K386" s="15" t="s">
        <v>30</v>
      </c>
      <c r="L386" s="56" t="s">
        <v>572</v>
      </c>
      <c r="M386" s="14"/>
      <c r="N386" s="14" t="s">
        <v>125</v>
      </c>
      <c r="O386" s="14"/>
      <c r="P386" s="15" t="s">
        <v>113</v>
      </c>
      <c r="Q386" s="16">
        <v>7099</v>
      </c>
      <c r="R386" s="17">
        <v>40</v>
      </c>
      <c r="S386" s="18">
        <v>4898.3099999999995</v>
      </c>
      <c r="T386" s="19" t="s">
        <v>36</v>
      </c>
      <c r="U386" s="20" t="s">
        <v>37</v>
      </c>
      <c r="V386" s="21" t="s">
        <v>38</v>
      </c>
      <c r="W386" s="22">
        <v>3</v>
      </c>
      <c r="X386" s="23"/>
    </row>
    <row r="387" spans="1:24" s="1" customFormat="1" ht="26.1" customHeight="1" x14ac:dyDescent="0.3">
      <c r="A387" s="24" t="s">
        <v>23</v>
      </c>
      <c r="B387" s="24" t="s">
        <v>570</v>
      </c>
      <c r="C387" s="12" t="s">
        <v>571</v>
      </c>
      <c r="D387" s="54"/>
      <c r="E387" s="39" t="str">
        <f>HYPERLINK("https://www.google.ru/search?q=6014688-338&amp;newwindow=1&amp;tbm=isch","Еще фото")</f>
        <v>Еще фото</v>
      </c>
      <c r="F387" s="13"/>
      <c r="G387" s="24" t="s">
        <v>28</v>
      </c>
      <c r="H387" s="24" t="s">
        <v>27</v>
      </c>
      <c r="I387" s="24" t="s">
        <v>28</v>
      </c>
      <c r="J387" s="14" t="s">
        <v>47</v>
      </c>
      <c r="K387" s="15" t="s">
        <v>30</v>
      </c>
      <c r="L387" s="57"/>
      <c r="M387" s="14"/>
      <c r="N387" s="14" t="s">
        <v>125</v>
      </c>
      <c r="O387" s="14"/>
      <c r="P387" s="15" t="s">
        <v>113</v>
      </c>
      <c r="Q387" s="16">
        <v>7099</v>
      </c>
      <c r="R387" s="17">
        <v>40</v>
      </c>
      <c r="S387" s="18">
        <v>4898.3099999999995</v>
      </c>
      <c r="T387" s="19" t="s">
        <v>36</v>
      </c>
      <c r="U387" s="20" t="s">
        <v>39</v>
      </c>
      <c r="V387" s="21" t="s">
        <v>40</v>
      </c>
      <c r="W387" s="22">
        <v>5</v>
      </c>
      <c r="X387" s="23"/>
    </row>
    <row r="388" spans="1:24" s="1" customFormat="1" ht="26.1" customHeight="1" x14ac:dyDescent="0.3">
      <c r="A388" s="24" t="s">
        <v>23</v>
      </c>
      <c r="B388" s="24" t="s">
        <v>570</v>
      </c>
      <c r="C388" s="12" t="s">
        <v>571</v>
      </c>
      <c r="D388" s="54"/>
      <c r="E388" s="39" t="str">
        <f>HYPERLINK("https://www.google.ru/search?q=6014688-338&amp;newwindow=1&amp;tbm=isch","Еще фото")</f>
        <v>Еще фото</v>
      </c>
      <c r="F388" s="13"/>
      <c r="G388" s="24" t="s">
        <v>28</v>
      </c>
      <c r="H388" s="24" t="s">
        <v>27</v>
      </c>
      <c r="I388" s="24" t="s">
        <v>28</v>
      </c>
      <c r="J388" s="14" t="s">
        <v>47</v>
      </c>
      <c r="K388" s="15" t="s">
        <v>30</v>
      </c>
      <c r="L388" s="57"/>
      <c r="M388" s="14"/>
      <c r="N388" s="14" t="s">
        <v>125</v>
      </c>
      <c r="O388" s="14"/>
      <c r="P388" s="15" t="s">
        <v>113</v>
      </c>
      <c r="Q388" s="16">
        <v>7099</v>
      </c>
      <c r="R388" s="17">
        <v>40</v>
      </c>
      <c r="S388" s="18">
        <v>4898.3099999999995</v>
      </c>
      <c r="T388" s="19" t="s">
        <v>36</v>
      </c>
      <c r="U388" s="20" t="s">
        <v>41</v>
      </c>
      <c r="V388" s="21" t="s">
        <v>42</v>
      </c>
      <c r="W388" s="22">
        <v>9</v>
      </c>
      <c r="X388" s="23"/>
    </row>
    <row r="389" spans="1:24" s="1" customFormat="1" ht="26.1" customHeight="1" x14ac:dyDescent="0.3">
      <c r="A389" s="24" t="s">
        <v>23</v>
      </c>
      <c r="B389" s="24" t="s">
        <v>570</v>
      </c>
      <c r="C389" s="12" t="s">
        <v>571</v>
      </c>
      <c r="D389" s="55"/>
      <c r="E389" s="39" t="str">
        <f>HYPERLINK("https://www.google.ru/search?q=6014688-338&amp;newwindow=1&amp;tbm=isch","Еще фото")</f>
        <v>Еще фото</v>
      </c>
      <c r="F389" s="13"/>
      <c r="G389" s="24" t="s">
        <v>28</v>
      </c>
      <c r="H389" s="24" t="s">
        <v>27</v>
      </c>
      <c r="I389" s="24" t="s">
        <v>28</v>
      </c>
      <c r="J389" s="14" t="s">
        <v>47</v>
      </c>
      <c r="K389" s="15" t="s">
        <v>30</v>
      </c>
      <c r="L389" s="58"/>
      <c r="M389" s="14"/>
      <c r="N389" s="14" t="s">
        <v>125</v>
      </c>
      <c r="O389" s="14"/>
      <c r="P389" s="15" t="s">
        <v>113</v>
      </c>
      <c r="Q389" s="16">
        <v>7099</v>
      </c>
      <c r="R389" s="17">
        <v>40</v>
      </c>
      <c r="S389" s="18">
        <v>4898.3099999999995</v>
      </c>
      <c r="T389" s="19" t="s">
        <v>36</v>
      </c>
      <c r="U389" s="20" t="s">
        <v>104</v>
      </c>
      <c r="V389" s="21" t="s">
        <v>105</v>
      </c>
      <c r="W389" s="22">
        <v>1</v>
      </c>
      <c r="X389" s="23"/>
    </row>
    <row r="390" spans="1:24" s="1" customFormat="1" ht="108" customHeight="1" x14ac:dyDescent="0.3">
      <c r="A390" s="11" t="s">
        <v>23</v>
      </c>
      <c r="B390" s="11" t="s">
        <v>573</v>
      </c>
      <c r="C390" s="12" t="s">
        <v>574</v>
      </c>
      <c r="D390" s="25"/>
      <c r="E390" s="39" t="str">
        <f>HYPERLINK("https://www.google.ru/search?q=1365985-001&amp;newwindow=1&amp;tbm=isch","Еще фото")</f>
        <v>Еще фото</v>
      </c>
      <c r="F390" s="13" t="s">
        <v>98</v>
      </c>
      <c r="G390" s="11" t="s">
        <v>575</v>
      </c>
      <c r="H390" s="11" t="s">
        <v>576</v>
      </c>
      <c r="I390" s="14" t="s">
        <v>577</v>
      </c>
      <c r="J390" s="14" t="s">
        <v>29</v>
      </c>
      <c r="K390" s="15" t="s">
        <v>578</v>
      </c>
      <c r="L390" s="14" t="s">
        <v>579</v>
      </c>
      <c r="M390" s="14"/>
      <c r="N390" s="14" t="s">
        <v>33</v>
      </c>
      <c r="O390" s="14"/>
      <c r="P390" s="15" t="s">
        <v>51</v>
      </c>
      <c r="Q390" s="16">
        <v>2999</v>
      </c>
      <c r="R390" s="17">
        <v>40</v>
      </c>
      <c r="S390" s="18">
        <v>2069.31</v>
      </c>
      <c r="T390" s="19" t="s">
        <v>580</v>
      </c>
      <c r="U390" s="20" t="s">
        <v>581</v>
      </c>
      <c r="V390" s="21" t="s">
        <v>582</v>
      </c>
      <c r="W390" s="22">
        <v>2</v>
      </c>
      <c r="X390" s="23"/>
    </row>
    <row r="391" spans="1:24" s="1" customFormat="1" ht="51.95" customHeight="1" x14ac:dyDescent="0.3">
      <c r="A391" s="11" t="s">
        <v>23</v>
      </c>
      <c r="B391" s="11" t="s">
        <v>583</v>
      </c>
      <c r="C391" s="12" t="s">
        <v>584</v>
      </c>
      <c r="D391" s="59"/>
      <c r="E391" s="39" t="str">
        <f>HYPERLINK("https://www.google.ru/search?q=1383483-103&amp;newwindow=1&amp;tbm=isch","Еще фото")</f>
        <v>Еще фото</v>
      </c>
      <c r="F391" s="13"/>
      <c r="G391" s="11" t="s">
        <v>585</v>
      </c>
      <c r="H391" s="11" t="s">
        <v>576</v>
      </c>
      <c r="I391" s="14" t="s">
        <v>577</v>
      </c>
      <c r="J391" s="14" t="s">
        <v>212</v>
      </c>
      <c r="K391" s="15" t="s">
        <v>578</v>
      </c>
      <c r="L391" s="56"/>
      <c r="M391" s="14"/>
      <c r="N391" s="14" t="s">
        <v>74</v>
      </c>
      <c r="O391" s="14"/>
      <c r="P391" s="15" t="s">
        <v>586</v>
      </c>
      <c r="Q391" s="16">
        <v>4299</v>
      </c>
      <c r="R391" s="17">
        <v>40</v>
      </c>
      <c r="S391" s="18">
        <v>2966.31</v>
      </c>
      <c r="T391" s="19" t="s">
        <v>36</v>
      </c>
      <c r="U391" s="20" t="s">
        <v>587</v>
      </c>
      <c r="V391" s="21" t="s">
        <v>382</v>
      </c>
      <c r="W391" s="22">
        <v>2</v>
      </c>
      <c r="X391" s="23"/>
    </row>
    <row r="392" spans="1:24" s="1" customFormat="1" ht="60.95" customHeight="1" x14ac:dyDescent="0.3">
      <c r="A392" s="24" t="s">
        <v>23</v>
      </c>
      <c r="B392" s="24" t="s">
        <v>583</v>
      </c>
      <c r="C392" s="12" t="s">
        <v>584</v>
      </c>
      <c r="D392" s="60"/>
      <c r="E392" s="39" t="str">
        <f>HYPERLINK("https://www.google.ru/search?q=1383483-103&amp;newwindow=1&amp;tbm=isch","Еще фото")</f>
        <v>Еще фото</v>
      </c>
      <c r="F392" s="13"/>
      <c r="G392" s="24" t="s">
        <v>585</v>
      </c>
      <c r="H392" s="24" t="s">
        <v>576</v>
      </c>
      <c r="I392" s="24" t="s">
        <v>577</v>
      </c>
      <c r="J392" s="14" t="s">
        <v>212</v>
      </c>
      <c r="K392" s="15" t="s">
        <v>578</v>
      </c>
      <c r="L392" s="58"/>
      <c r="M392" s="14"/>
      <c r="N392" s="14" t="s">
        <v>74</v>
      </c>
      <c r="O392" s="14"/>
      <c r="P392" s="15" t="s">
        <v>586</v>
      </c>
      <c r="Q392" s="16">
        <v>4299</v>
      </c>
      <c r="R392" s="17">
        <v>40</v>
      </c>
      <c r="S392" s="18">
        <v>2966.31</v>
      </c>
      <c r="T392" s="19" t="s">
        <v>36</v>
      </c>
      <c r="U392" s="20" t="s">
        <v>588</v>
      </c>
      <c r="V392" s="21" t="s">
        <v>589</v>
      </c>
      <c r="W392" s="22">
        <v>2</v>
      </c>
      <c r="X392" s="23"/>
    </row>
    <row r="393" spans="1:24" s="1" customFormat="1" ht="11.1" customHeight="1" x14ac:dyDescent="0.3">
      <c r="A393" s="11" t="s">
        <v>23</v>
      </c>
      <c r="B393" s="11" t="s">
        <v>590</v>
      </c>
      <c r="C393" s="12" t="s">
        <v>591</v>
      </c>
      <c r="D393" s="53"/>
      <c r="E393" s="39" t="str">
        <f t="shared" ref="E393:E403" si="1">HYPERLINK("https://www.google.ru/search?q=3027382-251&amp;newwindow=1&amp;tbm=isch","Еще фото")</f>
        <v>Еще фото</v>
      </c>
      <c r="F393" s="13" t="s">
        <v>98</v>
      </c>
      <c r="G393" s="11" t="s">
        <v>592</v>
      </c>
      <c r="H393" s="11" t="s">
        <v>593</v>
      </c>
      <c r="I393" s="14" t="s">
        <v>594</v>
      </c>
      <c r="J393" s="14" t="s">
        <v>595</v>
      </c>
      <c r="K393" s="15" t="s">
        <v>30</v>
      </c>
      <c r="L393" s="56" t="s">
        <v>596</v>
      </c>
      <c r="M393" s="14"/>
      <c r="N393" s="14" t="s">
        <v>125</v>
      </c>
      <c r="O393" s="14"/>
      <c r="P393" s="15" t="s">
        <v>597</v>
      </c>
      <c r="Q393" s="16">
        <v>18799</v>
      </c>
      <c r="R393" s="17">
        <v>56.5</v>
      </c>
      <c r="S393" s="18">
        <v>9404.4354999999996</v>
      </c>
      <c r="T393" s="19" t="s">
        <v>36</v>
      </c>
      <c r="U393" s="20" t="s">
        <v>598</v>
      </c>
      <c r="V393" s="22">
        <v>39</v>
      </c>
      <c r="W393" s="22">
        <v>5</v>
      </c>
      <c r="X393" s="23"/>
    </row>
    <row r="394" spans="1:24" s="1" customFormat="1" ht="11.1" customHeight="1" x14ac:dyDescent="0.3">
      <c r="A394" s="24" t="s">
        <v>23</v>
      </c>
      <c r="B394" s="24" t="s">
        <v>590</v>
      </c>
      <c r="C394" s="12" t="s">
        <v>591</v>
      </c>
      <c r="D394" s="54"/>
      <c r="E394" s="39" t="str">
        <f t="shared" si="1"/>
        <v>Еще фото</v>
      </c>
      <c r="F394" s="13" t="s">
        <v>98</v>
      </c>
      <c r="G394" s="24" t="s">
        <v>592</v>
      </c>
      <c r="H394" s="24" t="s">
        <v>593</v>
      </c>
      <c r="I394" s="24" t="s">
        <v>594</v>
      </c>
      <c r="J394" s="14" t="s">
        <v>595</v>
      </c>
      <c r="K394" s="15" t="s">
        <v>30</v>
      </c>
      <c r="L394" s="57"/>
      <c r="M394" s="14"/>
      <c r="N394" s="14" t="s">
        <v>125</v>
      </c>
      <c r="O394" s="14"/>
      <c r="P394" s="15" t="s">
        <v>597</v>
      </c>
      <c r="Q394" s="16">
        <v>18799</v>
      </c>
      <c r="R394" s="17">
        <v>56.5</v>
      </c>
      <c r="S394" s="18">
        <v>9404.4354999999996</v>
      </c>
      <c r="T394" s="19" t="s">
        <v>36</v>
      </c>
      <c r="U394" s="20" t="s">
        <v>599</v>
      </c>
      <c r="V394" s="28">
        <v>39.5</v>
      </c>
      <c r="W394" s="22">
        <v>5</v>
      </c>
      <c r="X394" s="23"/>
    </row>
    <row r="395" spans="1:24" s="1" customFormat="1" ht="11.1" customHeight="1" x14ac:dyDescent="0.3">
      <c r="A395" s="24" t="s">
        <v>23</v>
      </c>
      <c r="B395" s="24" t="s">
        <v>590</v>
      </c>
      <c r="C395" s="12" t="s">
        <v>591</v>
      </c>
      <c r="D395" s="54"/>
      <c r="E395" s="39" t="str">
        <f t="shared" si="1"/>
        <v>Еще фото</v>
      </c>
      <c r="F395" s="13" t="s">
        <v>98</v>
      </c>
      <c r="G395" s="24" t="s">
        <v>592</v>
      </c>
      <c r="H395" s="24" t="s">
        <v>593</v>
      </c>
      <c r="I395" s="24" t="s">
        <v>594</v>
      </c>
      <c r="J395" s="14" t="s">
        <v>595</v>
      </c>
      <c r="K395" s="15" t="s">
        <v>30</v>
      </c>
      <c r="L395" s="57"/>
      <c r="M395" s="14"/>
      <c r="N395" s="14" t="s">
        <v>125</v>
      </c>
      <c r="O395" s="14"/>
      <c r="P395" s="15" t="s">
        <v>597</v>
      </c>
      <c r="Q395" s="16">
        <v>18799</v>
      </c>
      <c r="R395" s="17">
        <v>56.5</v>
      </c>
      <c r="S395" s="18">
        <v>9404.4354999999996</v>
      </c>
      <c r="T395" s="19" t="s">
        <v>36</v>
      </c>
      <c r="U395" s="20" t="s">
        <v>600</v>
      </c>
      <c r="V395" s="22">
        <v>40</v>
      </c>
      <c r="W395" s="22">
        <v>8</v>
      </c>
      <c r="X395" s="23"/>
    </row>
    <row r="396" spans="1:24" s="1" customFormat="1" ht="11.1" customHeight="1" x14ac:dyDescent="0.3">
      <c r="A396" s="24" t="s">
        <v>23</v>
      </c>
      <c r="B396" s="24" t="s">
        <v>590</v>
      </c>
      <c r="C396" s="12" t="s">
        <v>591</v>
      </c>
      <c r="D396" s="54"/>
      <c r="E396" s="39" t="str">
        <f t="shared" si="1"/>
        <v>Еще фото</v>
      </c>
      <c r="F396" s="13" t="s">
        <v>98</v>
      </c>
      <c r="G396" s="24" t="s">
        <v>592</v>
      </c>
      <c r="H396" s="24" t="s">
        <v>593</v>
      </c>
      <c r="I396" s="24" t="s">
        <v>594</v>
      </c>
      <c r="J396" s="14" t="s">
        <v>595</v>
      </c>
      <c r="K396" s="15" t="s">
        <v>30</v>
      </c>
      <c r="L396" s="57"/>
      <c r="M396" s="14"/>
      <c r="N396" s="14" t="s">
        <v>125</v>
      </c>
      <c r="O396" s="14"/>
      <c r="P396" s="15" t="s">
        <v>597</v>
      </c>
      <c r="Q396" s="16">
        <v>18799</v>
      </c>
      <c r="R396" s="17">
        <v>56.5</v>
      </c>
      <c r="S396" s="18">
        <v>9404.4354999999996</v>
      </c>
      <c r="T396" s="19" t="s">
        <v>36</v>
      </c>
      <c r="U396" s="20" t="s">
        <v>601</v>
      </c>
      <c r="V396" s="22">
        <v>41</v>
      </c>
      <c r="W396" s="22">
        <v>8</v>
      </c>
      <c r="X396" s="23"/>
    </row>
    <row r="397" spans="1:24" s="1" customFormat="1" ht="11.1" customHeight="1" x14ac:dyDescent="0.3">
      <c r="A397" s="24" t="s">
        <v>23</v>
      </c>
      <c r="B397" s="24" t="s">
        <v>590</v>
      </c>
      <c r="C397" s="12" t="s">
        <v>591</v>
      </c>
      <c r="D397" s="54"/>
      <c r="E397" s="39" t="str">
        <f t="shared" si="1"/>
        <v>Еще фото</v>
      </c>
      <c r="F397" s="13" t="s">
        <v>98</v>
      </c>
      <c r="G397" s="24" t="s">
        <v>592</v>
      </c>
      <c r="H397" s="24" t="s">
        <v>593</v>
      </c>
      <c r="I397" s="24" t="s">
        <v>594</v>
      </c>
      <c r="J397" s="14" t="s">
        <v>595</v>
      </c>
      <c r="K397" s="15" t="s">
        <v>30</v>
      </c>
      <c r="L397" s="57"/>
      <c r="M397" s="14"/>
      <c r="N397" s="14" t="s">
        <v>125</v>
      </c>
      <c r="O397" s="14"/>
      <c r="P397" s="15" t="s">
        <v>597</v>
      </c>
      <c r="Q397" s="16">
        <v>18799</v>
      </c>
      <c r="R397" s="17">
        <v>56.5</v>
      </c>
      <c r="S397" s="18">
        <v>9404.4354999999996</v>
      </c>
      <c r="T397" s="19" t="s">
        <v>36</v>
      </c>
      <c r="U397" s="20" t="s">
        <v>602</v>
      </c>
      <c r="V397" s="28">
        <v>41.5</v>
      </c>
      <c r="W397" s="22">
        <v>10</v>
      </c>
      <c r="X397" s="23"/>
    </row>
    <row r="398" spans="1:24" s="1" customFormat="1" ht="11.1" customHeight="1" x14ac:dyDescent="0.3">
      <c r="A398" s="24" t="s">
        <v>23</v>
      </c>
      <c r="B398" s="24" t="s">
        <v>590</v>
      </c>
      <c r="C398" s="12" t="s">
        <v>591</v>
      </c>
      <c r="D398" s="54"/>
      <c r="E398" s="39" t="str">
        <f t="shared" si="1"/>
        <v>Еще фото</v>
      </c>
      <c r="F398" s="13" t="s">
        <v>98</v>
      </c>
      <c r="G398" s="24" t="s">
        <v>592</v>
      </c>
      <c r="H398" s="24" t="s">
        <v>593</v>
      </c>
      <c r="I398" s="24" t="s">
        <v>594</v>
      </c>
      <c r="J398" s="14" t="s">
        <v>595</v>
      </c>
      <c r="K398" s="15" t="s">
        <v>30</v>
      </c>
      <c r="L398" s="57"/>
      <c r="M398" s="14"/>
      <c r="N398" s="14" t="s">
        <v>125</v>
      </c>
      <c r="O398" s="14"/>
      <c r="P398" s="15" t="s">
        <v>597</v>
      </c>
      <c r="Q398" s="16">
        <v>18799</v>
      </c>
      <c r="R398" s="17">
        <v>56.5</v>
      </c>
      <c r="S398" s="18">
        <v>9404.4354999999996</v>
      </c>
      <c r="T398" s="19" t="s">
        <v>36</v>
      </c>
      <c r="U398" s="20" t="s">
        <v>603</v>
      </c>
      <c r="V398" s="22">
        <v>42</v>
      </c>
      <c r="W398" s="22">
        <v>19</v>
      </c>
      <c r="X398" s="23"/>
    </row>
    <row r="399" spans="1:24" s="1" customFormat="1" ht="11.1" customHeight="1" x14ac:dyDescent="0.3">
      <c r="A399" s="24" t="s">
        <v>23</v>
      </c>
      <c r="B399" s="24" t="s">
        <v>590</v>
      </c>
      <c r="C399" s="12" t="s">
        <v>591</v>
      </c>
      <c r="D399" s="54"/>
      <c r="E399" s="39" t="str">
        <f t="shared" si="1"/>
        <v>Еще фото</v>
      </c>
      <c r="F399" s="13" t="s">
        <v>98</v>
      </c>
      <c r="G399" s="24" t="s">
        <v>592</v>
      </c>
      <c r="H399" s="24" t="s">
        <v>593</v>
      </c>
      <c r="I399" s="24" t="s">
        <v>594</v>
      </c>
      <c r="J399" s="14" t="s">
        <v>595</v>
      </c>
      <c r="K399" s="15" t="s">
        <v>30</v>
      </c>
      <c r="L399" s="57"/>
      <c r="M399" s="14"/>
      <c r="N399" s="14" t="s">
        <v>125</v>
      </c>
      <c r="O399" s="14"/>
      <c r="P399" s="15" t="s">
        <v>597</v>
      </c>
      <c r="Q399" s="16">
        <v>18799</v>
      </c>
      <c r="R399" s="17">
        <v>56.5</v>
      </c>
      <c r="S399" s="18">
        <v>9404.4354999999996</v>
      </c>
      <c r="T399" s="19" t="s">
        <v>36</v>
      </c>
      <c r="U399" s="20" t="s">
        <v>604</v>
      </c>
      <c r="V399" s="22">
        <v>43</v>
      </c>
      <c r="W399" s="22">
        <v>10</v>
      </c>
      <c r="X399" s="23"/>
    </row>
    <row r="400" spans="1:24" s="1" customFormat="1" ht="11.1" customHeight="1" x14ac:dyDescent="0.3">
      <c r="A400" s="24" t="s">
        <v>23</v>
      </c>
      <c r="B400" s="24" t="s">
        <v>590</v>
      </c>
      <c r="C400" s="12" t="s">
        <v>591</v>
      </c>
      <c r="D400" s="54"/>
      <c r="E400" s="39" t="str">
        <f t="shared" si="1"/>
        <v>Еще фото</v>
      </c>
      <c r="F400" s="13" t="s">
        <v>98</v>
      </c>
      <c r="G400" s="24" t="s">
        <v>592</v>
      </c>
      <c r="H400" s="24" t="s">
        <v>593</v>
      </c>
      <c r="I400" s="24" t="s">
        <v>594</v>
      </c>
      <c r="J400" s="14" t="s">
        <v>595</v>
      </c>
      <c r="K400" s="15" t="s">
        <v>30</v>
      </c>
      <c r="L400" s="57"/>
      <c r="M400" s="14"/>
      <c r="N400" s="14" t="s">
        <v>125</v>
      </c>
      <c r="O400" s="14"/>
      <c r="P400" s="15" t="s">
        <v>597</v>
      </c>
      <c r="Q400" s="16">
        <v>18799</v>
      </c>
      <c r="R400" s="17">
        <v>56.5</v>
      </c>
      <c r="S400" s="18">
        <v>9404.4354999999996</v>
      </c>
      <c r="T400" s="19" t="s">
        <v>36</v>
      </c>
      <c r="U400" s="20" t="s">
        <v>605</v>
      </c>
      <c r="V400" s="28">
        <v>43.5</v>
      </c>
      <c r="W400" s="22">
        <v>10</v>
      </c>
      <c r="X400" s="23"/>
    </row>
    <row r="401" spans="1:24" s="1" customFormat="1" ht="11.1" customHeight="1" x14ac:dyDescent="0.3">
      <c r="A401" s="24" t="s">
        <v>23</v>
      </c>
      <c r="B401" s="24" t="s">
        <v>590</v>
      </c>
      <c r="C401" s="12" t="s">
        <v>591</v>
      </c>
      <c r="D401" s="54"/>
      <c r="E401" s="39" t="str">
        <f t="shared" si="1"/>
        <v>Еще фото</v>
      </c>
      <c r="F401" s="13" t="s">
        <v>98</v>
      </c>
      <c r="G401" s="24" t="s">
        <v>592</v>
      </c>
      <c r="H401" s="24" t="s">
        <v>593</v>
      </c>
      <c r="I401" s="24" t="s">
        <v>594</v>
      </c>
      <c r="J401" s="14" t="s">
        <v>595</v>
      </c>
      <c r="K401" s="15" t="s">
        <v>30</v>
      </c>
      <c r="L401" s="57"/>
      <c r="M401" s="14"/>
      <c r="N401" s="14" t="s">
        <v>125</v>
      </c>
      <c r="O401" s="14"/>
      <c r="P401" s="15" t="s">
        <v>597</v>
      </c>
      <c r="Q401" s="16">
        <v>18799</v>
      </c>
      <c r="R401" s="17">
        <v>56.5</v>
      </c>
      <c r="S401" s="18">
        <v>9404.4354999999996</v>
      </c>
      <c r="T401" s="19" t="s">
        <v>36</v>
      </c>
      <c r="U401" s="20" t="s">
        <v>606</v>
      </c>
      <c r="V401" s="22">
        <v>44</v>
      </c>
      <c r="W401" s="22">
        <v>1</v>
      </c>
      <c r="X401" s="23"/>
    </row>
    <row r="402" spans="1:24" s="1" customFormat="1" ht="11.1" customHeight="1" x14ac:dyDescent="0.3">
      <c r="A402" s="14" t="s">
        <v>23</v>
      </c>
      <c r="B402" s="14" t="s">
        <v>590</v>
      </c>
      <c r="C402" s="12" t="s">
        <v>591</v>
      </c>
      <c r="D402" s="54"/>
      <c r="E402" s="39" t="str">
        <f t="shared" si="1"/>
        <v>Еще фото</v>
      </c>
      <c r="F402" s="29" t="s">
        <v>98</v>
      </c>
      <c r="G402" s="14" t="s">
        <v>592</v>
      </c>
      <c r="H402" s="14" t="s">
        <v>593</v>
      </c>
      <c r="I402" s="14" t="s">
        <v>594</v>
      </c>
      <c r="J402" s="14" t="s">
        <v>595</v>
      </c>
      <c r="K402" s="14" t="s">
        <v>30</v>
      </c>
      <c r="L402" s="57"/>
      <c r="M402" s="14"/>
      <c r="N402" s="14" t="s">
        <v>125</v>
      </c>
      <c r="O402" s="14"/>
      <c r="P402" s="14" t="s">
        <v>597</v>
      </c>
      <c r="Q402" s="30">
        <v>18799</v>
      </c>
      <c r="R402" s="31">
        <v>56.5</v>
      </c>
      <c r="S402" s="32">
        <v>9404.4354999999996</v>
      </c>
      <c r="T402" s="19" t="s">
        <v>36</v>
      </c>
      <c r="U402" s="20" t="s">
        <v>607</v>
      </c>
      <c r="V402" s="28">
        <v>44.5</v>
      </c>
      <c r="W402" s="22">
        <v>3</v>
      </c>
      <c r="X402" s="23"/>
    </row>
    <row r="403" spans="1:24" s="1" customFormat="1" ht="11.1" customHeight="1" x14ac:dyDescent="0.3">
      <c r="A403" s="14" t="s">
        <v>23</v>
      </c>
      <c r="B403" s="14" t="s">
        <v>590</v>
      </c>
      <c r="C403" s="12" t="s">
        <v>591</v>
      </c>
      <c r="D403" s="55"/>
      <c r="E403" s="39" t="str">
        <f t="shared" si="1"/>
        <v>Еще фото</v>
      </c>
      <c r="F403" s="29" t="s">
        <v>98</v>
      </c>
      <c r="G403" s="14" t="s">
        <v>592</v>
      </c>
      <c r="H403" s="14" t="s">
        <v>593</v>
      </c>
      <c r="I403" s="14" t="s">
        <v>594</v>
      </c>
      <c r="J403" s="14" t="s">
        <v>595</v>
      </c>
      <c r="K403" s="14" t="s">
        <v>30</v>
      </c>
      <c r="L403" s="58"/>
      <c r="M403" s="14"/>
      <c r="N403" s="14" t="s">
        <v>125</v>
      </c>
      <c r="O403" s="14"/>
      <c r="P403" s="14" t="s">
        <v>597</v>
      </c>
      <c r="Q403" s="30">
        <v>18799</v>
      </c>
      <c r="R403" s="31">
        <v>56.5</v>
      </c>
      <c r="S403" s="32">
        <v>9404.4354999999996</v>
      </c>
      <c r="T403" s="19" t="s">
        <v>36</v>
      </c>
      <c r="U403" s="20" t="s">
        <v>608</v>
      </c>
      <c r="V403" s="22">
        <v>45</v>
      </c>
      <c r="W403" s="22">
        <v>1</v>
      </c>
      <c r="X403" s="23"/>
    </row>
    <row r="404" spans="1:24" s="1" customFormat="1" ht="17.100000000000001" customHeight="1" x14ac:dyDescent="0.3">
      <c r="A404" s="11" t="s">
        <v>23</v>
      </c>
      <c r="B404" s="11" t="s">
        <v>609</v>
      </c>
      <c r="C404" s="12" t="s">
        <v>610</v>
      </c>
      <c r="D404" s="53"/>
      <c r="E404" s="39" t="str">
        <f t="shared" ref="E404:E409" si="2">HYPERLINK("https://www.google.ru/search?q=3023743-001&amp;newwindow=1&amp;tbm=isch","Еще фото")</f>
        <v>Еще фото</v>
      </c>
      <c r="F404" s="13"/>
      <c r="G404" s="11" t="s">
        <v>592</v>
      </c>
      <c r="H404" s="11" t="s">
        <v>593</v>
      </c>
      <c r="I404" s="14" t="s">
        <v>594</v>
      </c>
      <c r="J404" s="14" t="s">
        <v>47</v>
      </c>
      <c r="K404" s="15" t="s">
        <v>30</v>
      </c>
      <c r="L404" s="56" t="s">
        <v>611</v>
      </c>
      <c r="M404" s="14" t="s">
        <v>612</v>
      </c>
      <c r="N404" s="14" t="s">
        <v>33</v>
      </c>
      <c r="O404" s="14"/>
      <c r="P404" s="15" t="s">
        <v>613</v>
      </c>
      <c r="Q404" s="16">
        <v>20999</v>
      </c>
      <c r="R404" s="17">
        <v>52.44</v>
      </c>
      <c r="S404" s="18">
        <v>11485.9355</v>
      </c>
      <c r="T404" s="19" t="s">
        <v>36</v>
      </c>
      <c r="U404" s="20" t="s">
        <v>599</v>
      </c>
      <c r="V404" s="28">
        <v>39.5</v>
      </c>
      <c r="W404" s="22">
        <v>1</v>
      </c>
      <c r="X404" s="23"/>
    </row>
    <row r="405" spans="1:24" s="1" customFormat="1" ht="17.100000000000001" customHeight="1" x14ac:dyDescent="0.3">
      <c r="A405" s="24" t="s">
        <v>23</v>
      </c>
      <c r="B405" s="24" t="s">
        <v>609</v>
      </c>
      <c r="C405" s="12" t="s">
        <v>610</v>
      </c>
      <c r="D405" s="54"/>
      <c r="E405" s="39" t="str">
        <f t="shared" si="2"/>
        <v>Еще фото</v>
      </c>
      <c r="F405" s="13"/>
      <c r="G405" s="24" t="s">
        <v>592</v>
      </c>
      <c r="H405" s="24" t="s">
        <v>593</v>
      </c>
      <c r="I405" s="24" t="s">
        <v>594</v>
      </c>
      <c r="J405" s="14" t="s">
        <v>47</v>
      </c>
      <c r="K405" s="15" t="s">
        <v>30</v>
      </c>
      <c r="L405" s="57"/>
      <c r="M405" s="14" t="s">
        <v>612</v>
      </c>
      <c r="N405" s="14" t="s">
        <v>33</v>
      </c>
      <c r="O405" s="14"/>
      <c r="P405" s="15" t="s">
        <v>613</v>
      </c>
      <c r="Q405" s="16">
        <v>20999</v>
      </c>
      <c r="R405" s="17">
        <v>52.44</v>
      </c>
      <c r="S405" s="18">
        <v>11485.9355</v>
      </c>
      <c r="T405" s="19" t="s">
        <v>36</v>
      </c>
      <c r="U405" s="20" t="s">
        <v>600</v>
      </c>
      <c r="V405" s="22">
        <v>40</v>
      </c>
      <c r="W405" s="22">
        <v>3</v>
      </c>
      <c r="X405" s="23"/>
    </row>
    <row r="406" spans="1:24" s="1" customFormat="1" ht="17.100000000000001" customHeight="1" x14ac:dyDescent="0.3">
      <c r="A406" s="24" t="s">
        <v>23</v>
      </c>
      <c r="B406" s="24" t="s">
        <v>609</v>
      </c>
      <c r="C406" s="12" t="s">
        <v>610</v>
      </c>
      <c r="D406" s="54"/>
      <c r="E406" s="39" t="str">
        <f t="shared" si="2"/>
        <v>Еще фото</v>
      </c>
      <c r="F406" s="13"/>
      <c r="G406" s="24" t="s">
        <v>592</v>
      </c>
      <c r="H406" s="24" t="s">
        <v>593</v>
      </c>
      <c r="I406" s="24" t="s">
        <v>594</v>
      </c>
      <c r="J406" s="14" t="s">
        <v>47</v>
      </c>
      <c r="K406" s="15" t="s">
        <v>30</v>
      </c>
      <c r="L406" s="57"/>
      <c r="M406" s="14" t="s">
        <v>612</v>
      </c>
      <c r="N406" s="14" t="s">
        <v>33</v>
      </c>
      <c r="O406" s="14"/>
      <c r="P406" s="15" t="s">
        <v>613</v>
      </c>
      <c r="Q406" s="16">
        <v>20999</v>
      </c>
      <c r="R406" s="17">
        <v>52.44</v>
      </c>
      <c r="S406" s="18">
        <v>11485.9355</v>
      </c>
      <c r="T406" s="19" t="s">
        <v>36</v>
      </c>
      <c r="U406" s="20" t="s">
        <v>601</v>
      </c>
      <c r="V406" s="22">
        <v>41</v>
      </c>
      <c r="W406" s="22">
        <v>2</v>
      </c>
      <c r="X406" s="23"/>
    </row>
    <row r="407" spans="1:24" s="1" customFormat="1" ht="17.100000000000001" customHeight="1" x14ac:dyDescent="0.3">
      <c r="A407" s="24" t="s">
        <v>23</v>
      </c>
      <c r="B407" s="24" t="s">
        <v>609</v>
      </c>
      <c r="C407" s="12" t="s">
        <v>610</v>
      </c>
      <c r="D407" s="54"/>
      <c r="E407" s="39" t="str">
        <f t="shared" si="2"/>
        <v>Еще фото</v>
      </c>
      <c r="F407" s="13"/>
      <c r="G407" s="24" t="s">
        <v>592</v>
      </c>
      <c r="H407" s="24" t="s">
        <v>593</v>
      </c>
      <c r="I407" s="24" t="s">
        <v>594</v>
      </c>
      <c r="J407" s="14" t="s">
        <v>47</v>
      </c>
      <c r="K407" s="15" t="s">
        <v>30</v>
      </c>
      <c r="L407" s="57"/>
      <c r="M407" s="14" t="s">
        <v>612</v>
      </c>
      <c r="N407" s="14" t="s">
        <v>33</v>
      </c>
      <c r="O407" s="14"/>
      <c r="P407" s="15" t="s">
        <v>613</v>
      </c>
      <c r="Q407" s="16">
        <v>20999</v>
      </c>
      <c r="R407" s="17">
        <v>52.44</v>
      </c>
      <c r="S407" s="18">
        <v>11485.9355</v>
      </c>
      <c r="T407" s="19" t="s">
        <v>36</v>
      </c>
      <c r="U407" s="20" t="s">
        <v>602</v>
      </c>
      <c r="V407" s="28">
        <v>41.5</v>
      </c>
      <c r="W407" s="22">
        <v>4</v>
      </c>
      <c r="X407" s="23"/>
    </row>
    <row r="408" spans="1:24" s="1" customFormat="1" ht="17.100000000000001" customHeight="1" x14ac:dyDescent="0.3">
      <c r="A408" s="24" t="s">
        <v>23</v>
      </c>
      <c r="B408" s="24" t="s">
        <v>609</v>
      </c>
      <c r="C408" s="12" t="s">
        <v>610</v>
      </c>
      <c r="D408" s="54"/>
      <c r="E408" s="39" t="str">
        <f t="shared" si="2"/>
        <v>Еще фото</v>
      </c>
      <c r="F408" s="13"/>
      <c r="G408" s="24" t="s">
        <v>592</v>
      </c>
      <c r="H408" s="24" t="s">
        <v>593</v>
      </c>
      <c r="I408" s="24" t="s">
        <v>594</v>
      </c>
      <c r="J408" s="14" t="s">
        <v>47</v>
      </c>
      <c r="K408" s="15" t="s">
        <v>30</v>
      </c>
      <c r="L408" s="57"/>
      <c r="M408" s="14" t="s">
        <v>612</v>
      </c>
      <c r="N408" s="14" t="s">
        <v>33</v>
      </c>
      <c r="O408" s="14"/>
      <c r="P408" s="15" t="s">
        <v>613</v>
      </c>
      <c r="Q408" s="16">
        <v>20999</v>
      </c>
      <c r="R408" s="17">
        <v>52.44</v>
      </c>
      <c r="S408" s="18">
        <v>11485.9355</v>
      </c>
      <c r="T408" s="19" t="s">
        <v>36</v>
      </c>
      <c r="U408" s="20" t="s">
        <v>603</v>
      </c>
      <c r="V408" s="22">
        <v>42</v>
      </c>
      <c r="W408" s="22">
        <v>1</v>
      </c>
      <c r="X408" s="23"/>
    </row>
    <row r="409" spans="1:24" s="1" customFormat="1" ht="21.95" customHeight="1" x14ac:dyDescent="0.3">
      <c r="A409" s="24" t="s">
        <v>23</v>
      </c>
      <c r="B409" s="24" t="s">
        <v>609</v>
      </c>
      <c r="C409" s="12" t="s">
        <v>610</v>
      </c>
      <c r="D409" s="55"/>
      <c r="E409" s="39" t="str">
        <f t="shared" si="2"/>
        <v>Еще фото</v>
      </c>
      <c r="F409" s="13"/>
      <c r="G409" s="24" t="s">
        <v>592</v>
      </c>
      <c r="H409" s="24" t="s">
        <v>593</v>
      </c>
      <c r="I409" s="24" t="s">
        <v>594</v>
      </c>
      <c r="J409" s="14" t="s">
        <v>47</v>
      </c>
      <c r="K409" s="15" t="s">
        <v>30</v>
      </c>
      <c r="L409" s="58"/>
      <c r="M409" s="14" t="s">
        <v>612</v>
      </c>
      <c r="N409" s="14" t="s">
        <v>33</v>
      </c>
      <c r="O409" s="14"/>
      <c r="P409" s="15" t="s">
        <v>613</v>
      </c>
      <c r="Q409" s="16">
        <v>20999</v>
      </c>
      <c r="R409" s="17">
        <v>52.44</v>
      </c>
      <c r="S409" s="18">
        <v>11485.9355</v>
      </c>
      <c r="T409" s="19" t="s">
        <v>36</v>
      </c>
      <c r="U409" s="20" t="s">
        <v>605</v>
      </c>
      <c r="V409" s="28">
        <v>43.5</v>
      </c>
      <c r="W409" s="22">
        <v>1</v>
      </c>
      <c r="X409" s="23"/>
    </row>
    <row r="410" spans="1:24" s="1" customFormat="1" ht="108" customHeight="1" x14ac:dyDescent="0.3">
      <c r="A410" s="11" t="s">
        <v>23</v>
      </c>
      <c r="B410" s="11" t="s">
        <v>614</v>
      </c>
      <c r="C410" s="12" t="s">
        <v>615</v>
      </c>
      <c r="D410" s="25"/>
      <c r="E410" s="39" t="str">
        <f>HYPERLINK("https://www.google.ru/search?q=1383478-100&amp;newwindow=1&amp;tbm=isch","Еще фото")</f>
        <v>Еще фото</v>
      </c>
      <c r="F410" s="13"/>
      <c r="G410" s="11" t="s">
        <v>616</v>
      </c>
      <c r="H410" s="11" t="s">
        <v>576</v>
      </c>
      <c r="I410" s="14" t="s">
        <v>617</v>
      </c>
      <c r="J410" s="14" t="s">
        <v>29</v>
      </c>
      <c r="K410" s="15" t="s">
        <v>64</v>
      </c>
      <c r="L410" s="14" t="s">
        <v>618</v>
      </c>
      <c r="M410" s="14" t="s">
        <v>619</v>
      </c>
      <c r="N410" s="14" t="s">
        <v>74</v>
      </c>
      <c r="O410" s="14"/>
      <c r="P410" s="15" t="s">
        <v>133</v>
      </c>
      <c r="Q410" s="16">
        <v>3099</v>
      </c>
      <c r="R410" s="17">
        <v>40</v>
      </c>
      <c r="S410" s="18">
        <v>2138.31</v>
      </c>
      <c r="T410" s="19" t="s">
        <v>580</v>
      </c>
      <c r="U410" s="20" t="s">
        <v>581</v>
      </c>
      <c r="V410" s="21" t="s">
        <v>382</v>
      </c>
      <c r="W410" s="22">
        <v>13</v>
      </c>
      <c r="X410" s="23"/>
    </row>
    <row r="411" spans="1:24" s="1" customFormat="1" ht="108" customHeight="1" x14ac:dyDescent="0.3">
      <c r="A411" s="11" t="s">
        <v>23</v>
      </c>
      <c r="B411" s="11" t="s">
        <v>620</v>
      </c>
      <c r="C411" s="12" t="s">
        <v>621</v>
      </c>
      <c r="D411" s="25"/>
      <c r="E411" s="39" t="str">
        <f>HYPERLINK("https://www.google.ru/search?q=1389890-305&amp;newwindow=1&amp;tbm=isch","Еще фото")</f>
        <v>Еще фото</v>
      </c>
      <c r="F411" s="13"/>
      <c r="G411" s="11" t="s">
        <v>616</v>
      </c>
      <c r="H411" s="11" t="s">
        <v>576</v>
      </c>
      <c r="I411" s="14" t="s">
        <v>617</v>
      </c>
      <c r="J411" s="14" t="s">
        <v>212</v>
      </c>
      <c r="K411" s="15" t="s">
        <v>30</v>
      </c>
      <c r="L411" s="14" t="s">
        <v>622</v>
      </c>
      <c r="M411" s="14"/>
      <c r="N411" s="14" t="s">
        <v>125</v>
      </c>
      <c r="O411" s="14"/>
      <c r="P411" s="15" t="s">
        <v>492</v>
      </c>
      <c r="Q411" s="16">
        <v>3499</v>
      </c>
      <c r="R411" s="17">
        <v>40</v>
      </c>
      <c r="S411" s="18">
        <v>2414.31</v>
      </c>
      <c r="T411" s="19" t="s">
        <v>580</v>
      </c>
      <c r="U411" s="20" t="s">
        <v>581</v>
      </c>
      <c r="V411" s="21" t="s">
        <v>582</v>
      </c>
      <c r="W411" s="22">
        <v>2</v>
      </c>
      <c r="X411" s="23"/>
    </row>
    <row r="412" spans="1:24" s="1" customFormat="1" ht="108" customHeight="1" x14ac:dyDescent="0.3">
      <c r="A412" s="11" t="s">
        <v>23</v>
      </c>
      <c r="B412" s="11" t="s">
        <v>623</v>
      </c>
      <c r="C412" s="12" t="s">
        <v>624</v>
      </c>
      <c r="D412" s="25"/>
      <c r="E412" s="39" t="str">
        <f>HYPERLINK("https://www.google.ru/search?q=6009335-600&amp;newwindow=1&amp;tbm=isch","Еще фото")</f>
        <v>Еще фото</v>
      </c>
      <c r="F412" s="13"/>
      <c r="G412" s="11" t="s">
        <v>616</v>
      </c>
      <c r="H412" s="11" t="s">
        <v>576</v>
      </c>
      <c r="I412" s="14" t="s">
        <v>617</v>
      </c>
      <c r="J412" s="14" t="s">
        <v>47</v>
      </c>
      <c r="K412" s="15" t="s">
        <v>64</v>
      </c>
      <c r="L412" s="14" t="s">
        <v>625</v>
      </c>
      <c r="M412" s="14"/>
      <c r="N412" s="14" t="s">
        <v>57</v>
      </c>
      <c r="O412" s="14"/>
      <c r="P412" s="15" t="s">
        <v>133</v>
      </c>
      <c r="Q412" s="16">
        <v>2599</v>
      </c>
      <c r="R412" s="17">
        <v>40</v>
      </c>
      <c r="S412" s="18">
        <v>1793.31</v>
      </c>
      <c r="T412" s="19" t="s">
        <v>580</v>
      </c>
      <c r="U412" s="20" t="s">
        <v>581</v>
      </c>
      <c r="V412" s="21" t="s">
        <v>382</v>
      </c>
      <c r="W412" s="22">
        <v>1</v>
      </c>
      <c r="X412" s="23"/>
    </row>
    <row r="413" spans="1:24" s="1" customFormat="1" ht="35.1" customHeight="1" x14ac:dyDescent="0.3">
      <c r="A413" s="11" t="s">
        <v>23</v>
      </c>
      <c r="B413" s="11" t="s">
        <v>626</v>
      </c>
      <c r="C413" s="12" t="s">
        <v>627</v>
      </c>
      <c r="D413" s="53"/>
      <c r="E413" s="39" t="str">
        <f>HYPERLINK("https://www.google.ru/search?q=1375442-001&amp;newwindow=1&amp;tbm=isch","Еще фото")</f>
        <v>Еще фото</v>
      </c>
      <c r="F413" s="13"/>
      <c r="G413" s="11" t="s">
        <v>628</v>
      </c>
      <c r="H413" s="11" t="s">
        <v>27</v>
      </c>
      <c r="I413" s="14" t="s">
        <v>629</v>
      </c>
      <c r="J413" s="14" t="s">
        <v>47</v>
      </c>
      <c r="K413" s="15" t="s">
        <v>64</v>
      </c>
      <c r="L413" s="56" t="s">
        <v>630</v>
      </c>
      <c r="M413" s="14" t="s">
        <v>631</v>
      </c>
      <c r="N413" s="14" t="s">
        <v>33</v>
      </c>
      <c r="O413" s="14"/>
      <c r="P413" s="15" t="s">
        <v>492</v>
      </c>
      <c r="Q413" s="16">
        <v>41999</v>
      </c>
      <c r="R413" s="17">
        <v>75.17</v>
      </c>
      <c r="S413" s="18">
        <v>11991.9355</v>
      </c>
      <c r="T413" s="19" t="s">
        <v>36</v>
      </c>
      <c r="U413" s="20" t="s">
        <v>69</v>
      </c>
      <c r="V413" s="21" t="s">
        <v>70</v>
      </c>
      <c r="W413" s="22">
        <v>1</v>
      </c>
      <c r="X413" s="23"/>
    </row>
    <row r="414" spans="1:24" s="1" customFormat="1" ht="35.1" customHeight="1" x14ac:dyDescent="0.3">
      <c r="A414" s="24" t="s">
        <v>23</v>
      </c>
      <c r="B414" s="24" t="s">
        <v>626</v>
      </c>
      <c r="C414" s="12" t="s">
        <v>627</v>
      </c>
      <c r="D414" s="54"/>
      <c r="E414" s="39" t="str">
        <f>HYPERLINK("https://www.google.ru/search?q=1375442-001&amp;newwindow=1&amp;tbm=isch","Еще фото")</f>
        <v>Еще фото</v>
      </c>
      <c r="F414" s="13"/>
      <c r="G414" s="24" t="s">
        <v>628</v>
      </c>
      <c r="H414" s="24" t="s">
        <v>27</v>
      </c>
      <c r="I414" s="24" t="s">
        <v>629</v>
      </c>
      <c r="J414" s="14" t="s">
        <v>47</v>
      </c>
      <c r="K414" s="15" t="s">
        <v>64</v>
      </c>
      <c r="L414" s="57"/>
      <c r="M414" s="14" t="s">
        <v>631</v>
      </c>
      <c r="N414" s="14" t="s">
        <v>33</v>
      </c>
      <c r="O414" s="14"/>
      <c r="P414" s="15" t="s">
        <v>492</v>
      </c>
      <c r="Q414" s="16">
        <v>41999</v>
      </c>
      <c r="R414" s="17">
        <v>75.17</v>
      </c>
      <c r="S414" s="18">
        <v>11991.9355</v>
      </c>
      <c r="T414" s="19" t="s">
        <v>36</v>
      </c>
      <c r="U414" s="20" t="s">
        <v>37</v>
      </c>
      <c r="V414" s="21" t="s">
        <v>86</v>
      </c>
      <c r="W414" s="22">
        <v>21</v>
      </c>
      <c r="X414" s="23"/>
    </row>
    <row r="415" spans="1:24" s="1" customFormat="1" ht="36.950000000000003" customHeight="1" x14ac:dyDescent="0.3">
      <c r="A415" s="24" t="s">
        <v>23</v>
      </c>
      <c r="B415" s="24" t="s">
        <v>626</v>
      </c>
      <c r="C415" s="12" t="s">
        <v>627</v>
      </c>
      <c r="D415" s="55"/>
      <c r="E415" s="39" t="str">
        <f>HYPERLINK("https://www.google.ru/search?q=1375442-001&amp;newwindow=1&amp;tbm=isch","Еще фото")</f>
        <v>Еще фото</v>
      </c>
      <c r="F415" s="13"/>
      <c r="G415" s="24" t="s">
        <v>628</v>
      </c>
      <c r="H415" s="24" t="s">
        <v>27</v>
      </c>
      <c r="I415" s="24" t="s">
        <v>629</v>
      </c>
      <c r="J415" s="14" t="s">
        <v>47</v>
      </c>
      <c r="K415" s="15" t="s">
        <v>64</v>
      </c>
      <c r="L415" s="58"/>
      <c r="M415" s="14" t="s">
        <v>631</v>
      </c>
      <c r="N415" s="14" t="s">
        <v>33</v>
      </c>
      <c r="O415" s="14"/>
      <c r="P415" s="15" t="s">
        <v>492</v>
      </c>
      <c r="Q415" s="16">
        <v>41999</v>
      </c>
      <c r="R415" s="17">
        <v>75.17</v>
      </c>
      <c r="S415" s="18">
        <v>11991.9355</v>
      </c>
      <c r="T415" s="19" t="s">
        <v>36</v>
      </c>
      <c r="U415" s="20" t="s">
        <v>39</v>
      </c>
      <c r="V415" s="21" t="s">
        <v>38</v>
      </c>
      <c r="W415" s="22">
        <v>35</v>
      </c>
      <c r="X415" s="23"/>
    </row>
    <row r="416" spans="1:24" s="1" customFormat="1" ht="51.95" customHeight="1" x14ac:dyDescent="0.3">
      <c r="A416" s="11" t="s">
        <v>23</v>
      </c>
      <c r="B416" s="11" t="s">
        <v>632</v>
      </c>
      <c r="C416" s="12" t="s">
        <v>633</v>
      </c>
      <c r="D416" s="59"/>
      <c r="E416" s="39" t="str">
        <f>HYPERLINK("https://www.google.ru/search?q=1378494-112&amp;newwindow=1&amp;tbm=isch","Еще фото")</f>
        <v>Еще фото</v>
      </c>
      <c r="F416" s="13"/>
      <c r="G416" s="11" t="s">
        <v>634</v>
      </c>
      <c r="H416" s="11" t="s">
        <v>27</v>
      </c>
      <c r="I416" s="14" t="s">
        <v>629</v>
      </c>
      <c r="J416" s="14" t="s">
        <v>29</v>
      </c>
      <c r="K416" s="15" t="s">
        <v>30</v>
      </c>
      <c r="L416" s="56" t="s">
        <v>635</v>
      </c>
      <c r="M416" s="14" t="s">
        <v>32</v>
      </c>
      <c r="N416" s="14" t="s">
        <v>636</v>
      </c>
      <c r="O416" s="14"/>
      <c r="P416" s="15" t="s">
        <v>51</v>
      </c>
      <c r="Q416" s="16">
        <v>26999</v>
      </c>
      <c r="R416" s="17">
        <v>66.86</v>
      </c>
      <c r="S416" s="18">
        <v>10289.9355</v>
      </c>
      <c r="T416" s="19" t="s">
        <v>36</v>
      </c>
      <c r="U416" s="20" t="s">
        <v>37</v>
      </c>
      <c r="V416" s="21" t="s">
        <v>38</v>
      </c>
      <c r="W416" s="22">
        <v>11</v>
      </c>
      <c r="X416" s="23"/>
    </row>
    <row r="417" spans="1:24" s="1" customFormat="1" ht="60.95" customHeight="1" x14ac:dyDescent="0.3">
      <c r="A417" s="24" t="s">
        <v>23</v>
      </c>
      <c r="B417" s="24" t="s">
        <v>632</v>
      </c>
      <c r="C417" s="12" t="s">
        <v>633</v>
      </c>
      <c r="D417" s="60"/>
      <c r="E417" s="39" t="str">
        <f>HYPERLINK("https://www.google.ru/search?q=1378494-112&amp;newwindow=1&amp;tbm=isch","Еще фото")</f>
        <v>Еще фото</v>
      </c>
      <c r="F417" s="13"/>
      <c r="G417" s="24" t="s">
        <v>634</v>
      </c>
      <c r="H417" s="24" t="s">
        <v>27</v>
      </c>
      <c r="I417" s="24" t="s">
        <v>629</v>
      </c>
      <c r="J417" s="14" t="s">
        <v>29</v>
      </c>
      <c r="K417" s="15" t="s">
        <v>30</v>
      </c>
      <c r="L417" s="58"/>
      <c r="M417" s="14" t="s">
        <v>32</v>
      </c>
      <c r="N417" s="14" t="s">
        <v>636</v>
      </c>
      <c r="O417" s="14"/>
      <c r="P417" s="15" t="s">
        <v>51</v>
      </c>
      <c r="Q417" s="16">
        <v>26999</v>
      </c>
      <c r="R417" s="17">
        <v>66.86</v>
      </c>
      <c r="S417" s="18">
        <v>10289.9355</v>
      </c>
      <c r="T417" s="19" t="s">
        <v>36</v>
      </c>
      <c r="U417" s="20" t="s">
        <v>39</v>
      </c>
      <c r="V417" s="21" t="s">
        <v>40</v>
      </c>
      <c r="W417" s="22">
        <v>7</v>
      </c>
      <c r="X417" s="23"/>
    </row>
    <row r="418" spans="1:24" s="1" customFormat="1" ht="21" customHeight="1" x14ac:dyDescent="0.3">
      <c r="A418" s="11" t="s">
        <v>23</v>
      </c>
      <c r="B418" s="11" t="s">
        <v>637</v>
      </c>
      <c r="C418" s="26" t="s">
        <v>638</v>
      </c>
      <c r="D418" s="53"/>
      <c r="E418" s="39" t="str">
        <f>HYPERLINK("https://www.google.ru/search?q=1385837-390&amp;newwindow=1&amp;tbm=isch","Еще фото")</f>
        <v>Еще фото</v>
      </c>
      <c r="F418" s="13" t="s">
        <v>98</v>
      </c>
      <c r="G418" s="11" t="s">
        <v>634</v>
      </c>
      <c r="H418" s="11" t="s">
        <v>27</v>
      </c>
      <c r="I418" s="14" t="s">
        <v>629</v>
      </c>
      <c r="J418" s="14" t="s">
        <v>29</v>
      </c>
      <c r="K418" s="15" t="s">
        <v>30</v>
      </c>
      <c r="L418" s="56" t="s">
        <v>639</v>
      </c>
      <c r="M418" s="14"/>
      <c r="N418" s="14" t="s">
        <v>640</v>
      </c>
      <c r="O418" s="14"/>
      <c r="P418" s="15" t="s">
        <v>492</v>
      </c>
      <c r="Q418" s="16">
        <v>28099</v>
      </c>
      <c r="R418" s="17">
        <v>61.71</v>
      </c>
      <c r="S418" s="18">
        <v>12371.4355</v>
      </c>
      <c r="T418" s="19" t="s">
        <v>36</v>
      </c>
      <c r="U418" s="20" t="s">
        <v>37</v>
      </c>
      <c r="V418" s="21" t="s">
        <v>38</v>
      </c>
      <c r="W418" s="22">
        <v>9</v>
      </c>
      <c r="X418" s="23"/>
    </row>
    <row r="419" spans="1:24" s="1" customFormat="1" ht="21" customHeight="1" x14ac:dyDescent="0.3">
      <c r="A419" s="24" t="s">
        <v>23</v>
      </c>
      <c r="B419" s="24" t="s">
        <v>637</v>
      </c>
      <c r="C419" s="27" t="s">
        <v>638</v>
      </c>
      <c r="D419" s="54"/>
      <c r="E419" s="39" t="str">
        <f>HYPERLINK("https://www.google.ru/search?q=1385837-390&amp;newwindow=1&amp;tbm=isch","Еще фото")</f>
        <v>Еще фото</v>
      </c>
      <c r="F419" s="13" t="s">
        <v>98</v>
      </c>
      <c r="G419" s="24" t="s">
        <v>634</v>
      </c>
      <c r="H419" s="24" t="s">
        <v>27</v>
      </c>
      <c r="I419" s="24" t="s">
        <v>629</v>
      </c>
      <c r="J419" s="14" t="s">
        <v>29</v>
      </c>
      <c r="K419" s="15" t="s">
        <v>30</v>
      </c>
      <c r="L419" s="57"/>
      <c r="M419" s="14"/>
      <c r="N419" s="14" t="s">
        <v>640</v>
      </c>
      <c r="O419" s="14"/>
      <c r="P419" s="15" t="s">
        <v>492</v>
      </c>
      <c r="Q419" s="16">
        <v>28099</v>
      </c>
      <c r="R419" s="17">
        <v>61.71</v>
      </c>
      <c r="S419" s="18">
        <v>12371.4355</v>
      </c>
      <c r="T419" s="19" t="s">
        <v>36</v>
      </c>
      <c r="U419" s="20" t="s">
        <v>39</v>
      </c>
      <c r="V419" s="21" t="s">
        <v>40</v>
      </c>
      <c r="W419" s="22">
        <v>24</v>
      </c>
      <c r="X419" s="23"/>
    </row>
    <row r="420" spans="1:24" s="1" customFormat="1" ht="21" customHeight="1" x14ac:dyDescent="0.3">
      <c r="A420" s="24" t="s">
        <v>23</v>
      </c>
      <c r="B420" s="24" t="s">
        <v>637</v>
      </c>
      <c r="C420" s="27" t="s">
        <v>638</v>
      </c>
      <c r="D420" s="54"/>
      <c r="E420" s="39" t="str">
        <f>HYPERLINK("https://www.google.ru/search?q=1385837-390&amp;newwindow=1&amp;tbm=isch","Еще фото")</f>
        <v>Еще фото</v>
      </c>
      <c r="F420" s="13" t="s">
        <v>98</v>
      </c>
      <c r="G420" s="24" t="s">
        <v>634</v>
      </c>
      <c r="H420" s="24" t="s">
        <v>27</v>
      </c>
      <c r="I420" s="24" t="s">
        <v>629</v>
      </c>
      <c r="J420" s="14" t="s">
        <v>29</v>
      </c>
      <c r="K420" s="15" t="s">
        <v>30</v>
      </c>
      <c r="L420" s="57"/>
      <c r="M420" s="14"/>
      <c r="N420" s="14" t="s">
        <v>640</v>
      </c>
      <c r="O420" s="14"/>
      <c r="P420" s="15" t="s">
        <v>492</v>
      </c>
      <c r="Q420" s="16">
        <v>28099</v>
      </c>
      <c r="R420" s="17">
        <v>61.71</v>
      </c>
      <c r="S420" s="18">
        <v>12371.4355</v>
      </c>
      <c r="T420" s="19" t="s">
        <v>36</v>
      </c>
      <c r="U420" s="20" t="s">
        <v>41</v>
      </c>
      <c r="V420" s="21" t="s">
        <v>42</v>
      </c>
      <c r="W420" s="22">
        <v>26</v>
      </c>
      <c r="X420" s="23"/>
    </row>
    <row r="421" spans="1:24" s="1" customFormat="1" ht="21" customHeight="1" x14ac:dyDescent="0.3">
      <c r="A421" s="24" t="s">
        <v>23</v>
      </c>
      <c r="B421" s="24" t="s">
        <v>637</v>
      </c>
      <c r="C421" s="27" t="s">
        <v>638</v>
      </c>
      <c r="D421" s="54"/>
      <c r="E421" s="39" t="str">
        <f>HYPERLINK("https://www.google.ru/search?q=1385837-390&amp;newwindow=1&amp;tbm=isch","Еще фото")</f>
        <v>Еще фото</v>
      </c>
      <c r="F421" s="13" t="s">
        <v>98</v>
      </c>
      <c r="G421" s="24" t="s">
        <v>634</v>
      </c>
      <c r="H421" s="24" t="s">
        <v>27</v>
      </c>
      <c r="I421" s="24" t="s">
        <v>629</v>
      </c>
      <c r="J421" s="14" t="s">
        <v>29</v>
      </c>
      <c r="K421" s="15" t="s">
        <v>30</v>
      </c>
      <c r="L421" s="57"/>
      <c r="M421" s="14"/>
      <c r="N421" s="14" t="s">
        <v>640</v>
      </c>
      <c r="O421" s="14"/>
      <c r="P421" s="15" t="s">
        <v>492</v>
      </c>
      <c r="Q421" s="16">
        <v>28099</v>
      </c>
      <c r="R421" s="17">
        <v>61.71</v>
      </c>
      <c r="S421" s="18">
        <v>12371.4355</v>
      </c>
      <c r="T421" s="19" t="s">
        <v>36</v>
      </c>
      <c r="U421" s="20" t="s">
        <v>43</v>
      </c>
      <c r="V421" s="21" t="s">
        <v>44</v>
      </c>
      <c r="W421" s="22">
        <v>13</v>
      </c>
      <c r="X421" s="23"/>
    </row>
    <row r="422" spans="1:24" s="1" customFormat="1" ht="32.1" customHeight="1" x14ac:dyDescent="0.3">
      <c r="A422" s="24" t="s">
        <v>23</v>
      </c>
      <c r="B422" s="24" t="s">
        <v>637</v>
      </c>
      <c r="C422" s="27" t="s">
        <v>638</v>
      </c>
      <c r="D422" s="55"/>
      <c r="E422" s="39" t="str">
        <f>HYPERLINK("https://www.google.ru/search?q=1385837-390&amp;newwindow=1&amp;tbm=isch","Еще фото")</f>
        <v>Еще фото</v>
      </c>
      <c r="F422" s="13" t="s">
        <v>98</v>
      </c>
      <c r="G422" s="24" t="s">
        <v>634</v>
      </c>
      <c r="H422" s="24" t="s">
        <v>27</v>
      </c>
      <c r="I422" s="24" t="s">
        <v>629</v>
      </c>
      <c r="J422" s="14" t="s">
        <v>29</v>
      </c>
      <c r="K422" s="15" t="s">
        <v>30</v>
      </c>
      <c r="L422" s="58"/>
      <c r="M422" s="14"/>
      <c r="N422" s="14" t="s">
        <v>640</v>
      </c>
      <c r="O422" s="14"/>
      <c r="P422" s="15" t="s">
        <v>492</v>
      </c>
      <c r="Q422" s="16">
        <v>28099</v>
      </c>
      <c r="R422" s="17">
        <v>61.71</v>
      </c>
      <c r="S422" s="18">
        <v>12371.4355</v>
      </c>
      <c r="T422" s="19" t="s">
        <v>36</v>
      </c>
      <c r="U422" s="20" t="s">
        <v>104</v>
      </c>
      <c r="V422" s="21" t="s">
        <v>105</v>
      </c>
      <c r="W422" s="22">
        <v>1</v>
      </c>
      <c r="X422" s="23"/>
    </row>
    <row r="423" spans="1:24" s="1" customFormat="1" ht="26.1" customHeight="1" x14ac:dyDescent="0.3">
      <c r="A423" s="11" t="s">
        <v>23</v>
      </c>
      <c r="B423" s="11" t="s">
        <v>641</v>
      </c>
      <c r="C423" s="12" t="s">
        <v>642</v>
      </c>
      <c r="D423" s="53"/>
      <c r="E423" s="39" t="str">
        <f>HYPERLINK("https://www.google.ru/search?q=1380870-001&amp;newwindow=1&amp;tbm=isch","Еще фото")</f>
        <v>Еще фото</v>
      </c>
      <c r="F423" s="13"/>
      <c r="G423" s="11" t="s">
        <v>643</v>
      </c>
      <c r="H423" s="11" t="s">
        <v>27</v>
      </c>
      <c r="I423" s="14" t="s">
        <v>629</v>
      </c>
      <c r="J423" s="14" t="s">
        <v>29</v>
      </c>
      <c r="K423" s="15" t="s">
        <v>30</v>
      </c>
      <c r="L423" s="56" t="s">
        <v>644</v>
      </c>
      <c r="M423" s="14" t="s">
        <v>32</v>
      </c>
      <c r="N423" s="14" t="s">
        <v>33</v>
      </c>
      <c r="O423" s="14"/>
      <c r="P423" s="15" t="s">
        <v>51</v>
      </c>
      <c r="Q423" s="16">
        <v>11199</v>
      </c>
      <c r="R423" s="17">
        <v>61.71</v>
      </c>
      <c r="S423" s="18">
        <v>4930.9355000000005</v>
      </c>
      <c r="T423" s="19" t="s">
        <v>36</v>
      </c>
      <c r="U423" s="20" t="s">
        <v>37</v>
      </c>
      <c r="V423" s="21" t="s">
        <v>38</v>
      </c>
      <c r="W423" s="22">
        <v>19</v>
      </c>
      <c r="X423" s="23"/>
    </row>
    <row r="424" spans="1:24" s="1" customFormat="1" ht="26.1" customHeight="1" x14ac:dyDescent="0.3">
      <c r="A424" s="24" t="s">
        <v>23</v>
      </c>
      <c r="B424" s="24" t="s">
        <v>641</v>
      </c>
      <c r="C424" s="12" t="s">
        <v>642</v>
      </c>
      <c r="D424" s="54"/>
      <c r="E424" s="39" t="str">
        <f>HYPERLINK("https://www.google.ru/search?q=1380870-001&amp;newwindow=1&amp;tbm=isch","Еще фото")</f>
        <v>Еще фото</v>
      </c>
      <c r="F424" s="13"/>
      <c r="G424" s="24" t="s">
        <v>643</v>
      </c>
      <c r="H424" s="24" t="s">
        <v>27</v>
      </c>
      <c r="I424" s="24" t="s">
        <v>629</v>
      </c>
      <c r="J424" s="14" t="s">
        <v>29</v>
      </c>
      <c r="K424" s="15" t="s">
        <v>30</v>
      </c>
      <c r="L424" s="57"/>
      <c r="M424" s="14" t="s">
        <v>32</v>
      </c>
      <c r="N424" s="14" t="s">
        <v>33</v>
      </c>
      <c r="O424" s="14"/>
      <c r="P424" s="15" t="s">
        <v>51</v>
      </c>
      <c r="Q424" s="16">
        <v>11199</v>
      </c>
      <c r="R424" s="17">
        <v>61.71</v>
      </c>
      <c r="S424" s="18">
        <v>4930.9355000000005</v>
      </c>
      <c r="T424" s="19" t="s">
        <v>36</v>
      </c>
      <c r="U424" s="20" t="s">
        <v>39</v>
      </c>
      <c r="V424" s="21" t="s">
        <v>40</v>
      </c>
      <c r="W424" s="22">
        <v>44</v>
      </c>
      <c r="X424" s="23"/>
    </row>
    <row r="425" spans="1:24" s="1" customFormat="1" ht="26.1" customHeight="1" x14ac:dyDescent="0.3">
      <c r="A425" s="24" t="s">
        <v>23</v>
      </c>
      <c r="B425" s="24" t="s">
        <v>641</v>
      </c>
      <c r="C425" s="12" t="s">
        <v>642</v>
      </c>
      <c r="D425" s="54"/>
      <c r="E425" s="39" t="str">
        <f>HYPERLINK("https://www.google.ru/search?q=1380870-001&amp;newwindow=1&amp;tbm=isch","Еще фото")</f>
        <v>Еще фото</v>
      </c>
      <c r="F425" s="13"/>
      <c r="G425" s="24" t="s">
        <v>643</v>
      </c>
      <c r="H425" s="24" t="s">
        <v>27</v>
      </c>
      <c r="I425" s="24" t="s">
        <v>629</v>
      </c>
      <c r="J425" s="14" t="s">
        <v>29</v>
      </c>
      <c r="K425" s="15" t="s">
        <v>30</v>
      </c>
      <c r="L425" s="57"/>
      <c r="M425" s="14" t="s">
        <v>32</v>
      </c>
      <c r="N425" s="14" t="s">
        <v>33</v>
      </c>
      <c r="O425" s="14"/>
      <c r="P425" s="15" t="s">
        <v>51</v>
      </c>
      <c r="Q425" s="16">
        <v>11199</v>
      </c>
      <c r="R425" s="17">
        <v>61.71</v>
      </c>
      <c r="S425" s="18">
        <v>4930.9355000000005</v>
      </c>
      <c r="T425" s="19" t="s">
        <v>36</v>
      </c>
      <c r="U425" s="20" t="s">
        <v>41</v>
      </c>
      <c r="V425" s="21" t="s">
        <v>42</v>
      </c>
      <c r="W425" s="22">
        <v>30</v>
      </c>
      <c r="X425" s="23"/>
    </row>
    <row r="426" spans="1:24" s="1" customFormat="1" ht="26.1" customHeight="1" x14ac:dyDescent="0.3">
      <c r="A426" s="24" t="s">
        <v>23</v>
      </c>
      <c r="B426" s="24" t="s">
        <v>641</v>
      </c>
      <c r="C426" s="12" t="s">
        <v>642</v>
      </c>
      <c r="D426" s="55"/>
      <c r="E426" s="39" t="str">
        <f>HYPERLINK("https://www.google.ru/search?q=1380870-001&amp;newwindow=1&amp;tbm=isch","Еще фото")</f>
        <v>Еще фото</v>
      </c>
      <c r="F426" s="13"/>
      <c r="G426" s="24" t="s">
        <v>643</v>
      </c>
      <c r="H426" s="24" t="s">
        <v>27</v>
      </c>
      <c r="I426" s="24" t="s">
        <v>629</v>
      </c>
      <c r="J426" s="14" t="s">
        <v>29</v>
      </c>
      <c r="K426" s="15" t="s">
        <v>30</v>
      </c>
      <c r="L426" s="58"/>
      <c r="M426" s="14" t="s">
        <v>32</v>
      </c>
      <c r="N426" s="14" t="s">
        <v>33</v>
      </c>
      <c r="O426" s="14"/>
      <c r="P426" s="15" t="s">
        <v>51</v>
      </c>
      <c r="Q426" s="16">
        <v>11199</v>
      </c>
      <c r="R426" s="17">
        <v>61.71</v>
      </c>
      <c r="S426" s="18">
        <v>4930.9355000000005</v>
      </c>
      <c r="T426" s="19" t="s">
        <v>36</v>
      </c>
      <c r="U426" s="20" t="s">
        <v>43</v>
      </c>
      <c r="V426" s="21" t="s">
        <v>44</v>
      </c>
      <c r="W426" s="22">
        <v>6</v>
      </c>
      <c r="X426" s="23"/>
    </row>
    <row r="427" spans="1:24" s="1" customFormat="1" ht="26.1" customHeight="1" x14ac:dyDescent="0.3">
      <c r="A427" s="11" t="s">
        <v>23</v>
      </c>
      <c r="B427" s="11" t="s">
        <v>645</v>
      </c>
      <c r="C427" s="12" t="s">
        <v>646</v>
      </c>
      <c r="D427" s="53"/>
      <c r="E427" s="39" t="str">
        <f>HYPERLINK("https://www.google.ru/search?q=1378837-001&amp;newwindow=1&amp;tbm=isch","Еще фото")</f>
        <v>Еще фото</v>
      </c>
      <c r="F427" s="13" t="s">
        <v>98</v>
      </c>
      <c r="G427" s="11" t="s">
        <v>643</v>
      </c>
      <c r="H427" s="11" t="s">
        <v>27</v>
      </c>
      <c r="I427" s="14" t="s">
        <v>629</v>
      </c>
      <c r="J427" s="14" t="s">
        <v>29</v>
      </c>
      <c r="K427" s="15" t="s">
        <v>30</v>
      </c>
      <c r="L427" s="56" t="s">
        <v>647</v>
      </c>
      <c r="M427" s="14" t="s">
        <v>631</v>
      </c>
      <c r="N427" s="14" t="s">
        <v>33</v>
      </c>
      <c r="O427" s="14"/>
      <c r="P427" s="15" t="s">
        <v>492</v>
      </c>
      <c r="Q427" s="16">
        <v>33999</v>
      </c>
      <c r="R427" s="17">
        <v>61.71</v>
      </c>
      <c r="S427" s="18">
        <v>14970.4355</v>
      </c>
      <c r="T427" s="19" t="s">
        <v>36</v>
      </c>
      <c r="U427" s="20" t="s">
        <v>37</v>
      </c>
      <c r="V427" s="21" t="s">
        <v>38</v>
      </c>
      <c r="W427" s="22">
        <v>7</v>
      </c>
      <c r="X427" s="23"/>
    </row>
    <row r="428" spans="1:24" s="1" customFormat="1" ht="26.1" customHeight="1" x14ac:dyDescent="0.3">
      <c r="A428" s="24" t="s">
        <v>23</v>
      </c>
      <c r="B428" s="24" t="s">
        <v>645</v>
      </c>
      <c r="C428" s="12" t="s">
        <v>646</v>
      </c>
      <c r="D428" s="54"/>
      <c r="E428" s="39" t="str">
        <f>HYPERLINK("https://www.google.ru/search?q=1378837-001&amp;newwindow=1&amp;tbm=isch","Еще фото")</f>
        <v>Еще фото</v>
      </c>
      <c r="F428" s="13" t="s">
        <v>98</v>
      </c>
      <c r="G428" s="24" t="s">
        <v>643</v>
      </c>
      <c r="H428" s="24" t="s">
        <v>27</v>
      </c>
      <c r="I428" s="24" t="s">
        <v>629</v>
      </c>
      <c r="J428" s="14" t="s">
        <v>29</v>
      </c>
      <c r="K428" s="15" t="s">
        <v>30</v>
      </c>
      <c r="L428" s="57"/>
      <c r="M428" s="14" t="s">
        <v>631</v>
      </c>
      <c r="N428" s="14" t="s">
        <v>33</v>
      </c>
      <c r="O428" s="14"/>
      <c r="P428" s="15" t="s">
        <v>492</v>
      </c>
      <c r="Q428" s="16">
        <v>33999</v>
      </c>
      <c r="R428" s="17">
        <v>61.71</v>
      </c>
      <c r="S428" s="18">
        <v>14970.4355</v>
      </c>
      <c r="T428" s="19" t="s">
        <v>36</v>
      </c>
      <c r="U428" s="20" t="s">
        <v>39</v>
      </c>
      <c r="V428" s="21" t="s">
        <v>40</v>
      </c>
      <c r="W428" s="22">
        <v>13</v>
      </c>
      <c r="X428" s="23"/>
    </row>
    <row r="429" spans="1:24" s="1" customFormat="1" ht="26.1" customHeight="1" x14ac:dyDescent="0.3">
      <c r="A429" s="24" t="s">
        <v>23</v>
      </c>
      <c r="B429" s="24" t="s">
        <v>645</v>
      </c>
      <c r="C429" s="12" t="s">
        <v>646</v>
      </c>
      <c r="D429" s="54"/>
      <c r="E429" s="39" t="str">
        <f>HYPERLINK("https://www.google.ru/search?q=1378837-001&amp;newwindow=1&amp;tbm=isch","Еще фото")</f>
        <v>Еще фото</v>
      </c>
      <c r="F429" s="13" t="s">
        <v>98</v>
      </c>
      <c r="G429" s="24" t="s">
        <v>643</v>
      </c>
      <c r="H429" s="24" t="s">
        <v>27</v>
      </c>
      <c r="I429" s="24" t="s">
        <v>629</v>
      </c>
      <c r="J429" s="14" t="s">
        <v>29</v>
      </c>
      <c r="K429" s="15" t="s">
        <v>30</v>
      </c>
      <c r="L429" s="57"/>
      <c r="M429" s="14" t="s">
        <v>631</v>
      </c>
      <c r="N429" s="14" t="s">
        <v>33</v>
      </c>
      <c r="O429" s="14"/>
      <c r="P429" s="15" t="s">
        <v>492</v>
      </c>
      <c r="Q429" s="16">
        <v>33999</v>
      </c>
      <c r="R429" s="17">
        <v>61.71</v>
      </c>
      <c r="S429" s="18">
        <v>14970.4355</v>
      </c>
      <c r="T429" s="19" t="s">
        <v>36</v>
      </c>
      <c r="U429" s="20" t="s">
        <v>41</v>
      </c>
      <c r="V429" s="21" t="s">
        <v>42</v>
      </c>
      <c r="W429" s="22">
        <v>1</v>
      </c>
      <c r="X429" s="23"/>
    </row>
    <row r="430" spans="1:24" s="1" customFormat="1" ht="26.1" customHeight="1" x14ac:dyDescent="0.3">
      <c r="A430" s="24" t="s">
        <v>23</v>
      </c>
      <c r="B430" s="24" t="s">
        <v>645</v>
      </c>
      <c r="C430" s="12" t="s">
        <v>646</v>
      </c>
      <c r="D430" s="55"/>
      <c r="E430" s="39" t="str">
        <f>HYPERLINK("https://www.google.ru/search?q=1378837-001&amp;newwindow=1&amp;tbm=isch","Еще фото")</f>
        <v>Еще фото</v>
      </c>
      <c r="F430" s="13" t="s">
        <v>98</v>
      </c>
      <c r="G430" s="24" t="s">
        <v>643</v>
      </c>
      <c r="H430" s="24" t="s">
        <v>27</v>
      </c>
      <c r="I430" s="24" t="s">
        <v>629</v>
      </c>
      <c r="J430" s="14" t="s">
        <v>29</v>
      </c>
      <c r="K430" s="15" t="s">
        <v>30</v>
      </c>
      <c r="L430" s="58"/>
      <c r="M430" s="14" t="s">
        <v>631</v>
      </c>
      <c r="N430" s="14" t="s">
        <v>33</v>
      </c>
      <c r="O430" s="14"/>
      <c r="P430" s="15" t="s">
        <v>492</v>
      </c>
      <c r="Q430" s="16">
        <v>33999</v>
      </c>
      <c r="R430" s="17">
        <v>61.71</v>
      </c>
      <c r="S430" s="18">
        <v>14970.4355</v>
      </c>
      <c r="T430" s="19" t="s">
        <v>36</v>
      </c>
      <c r="U430" s="20" t="s">
        <v>381</v>
      </c>
      <c r="V430" s="21" t="s">
        <v>382</v>
      </c>
      <c r="W430" s="22">
        <v>1</v>
      </c>
      <c r="X430" s="23"/>
    </row>
    <row r="431" spans="1:24" s="1" customFormat="1" ht="21" customHeight="1" x14ac:dyDescent="0.3">
      <c r="A431" s="11" t="s">
        <v>23</v>
      </c>
      <c r="B431" s="11" t="s">
        <v>637</v>
      </c>
      <c r="C431" s="26" t="s">
        <v>648</v>
      </c>
      <c r="D431" s="53"/>
      <c r="E431" s="39" t="str">
        <f>HYPERLINK("https://www.google.ru/search?q=1385837-002&amp;newwindow=1&amp;tbm=isch","Еще фото")</f>
        <v>Еще фото</v>
      </c>
      <c r="F431" s="13" t="s">
        <v>98</v>
      </c>
      <c r="G431" s="11" t="s">
        <v>634</v>
      </c>
      <c r="H431" s="11" t="s">
        <v>27</v>
      </c>
      <c r="I431" s="14" t="s">
        <v>629</v>
      </c>
      <c r="J431" s="14" t="s">
        <v>29</v>
      </c>
      <c r="K431" s="15" t="s">
        <v>30</v>
      </c>
      <c r="L431" s="56" t="s">
        <v>639</v>
      </c>
      <c r="M431" s="14"/>
      <c r="N431" s="14" t="s">
        <v>480</v>
      </c>
      <c r="O431" s="14"/>
      <c r="P431" s="15" t="s">
        <v>492</v>
      </c>
      <c r="Q431" s="16">
        <v>31999</v>
      </c>
      <c r="R431" s="17">
        <v>58.82</v>
      </c>
      <c r="S431" s="18">
        <v>15154.4355</v>
      </c>
      <c r="T431" s="19" t="s">
        <v>36</v>
      </c>
      <c r="U431" s="20" t="s">
        <v>37</v>
      </c>
      <c r="V431" s="21" t="s">
        <v>38</v>
      </c>
      <c r="W431" s="22">
        <v>5</v>
      </c>
      <c r="X431" s="23"/>
    </row>
    <row r="432" spans="1:24" s="1" customFormat="1" ht="21" customHeight="1" x14ac:dyDescent="0.3">
      <c r="A432" s="24" t="s">
        <v>23</v>
      </c>
      <c r="B432" s="24" t="s">
        <v>637</v>
      </c>
      <c r="C432" s="27" t="s">
        <v>648</v>
      </c>
      <c r="D432" s="54"/>
      <c r="E432" s="39" t="str">
        <f>HYPERLINK("https://www.google.ru/search?q=1385837-002&amp;newwindow=1&amp;tbm=isch","Еще фото")</f>
        <v>Еще фото</v>
      </c>
      <c r="F432" s="13" t="s">
        <v>98</v>
      </c>
      <c r="G432" s="24" t="s">
        <v>634</v>
      </c>
      <c r="H432" s="24" t="s">
        <v>27</v>
      </c>
      <c r="I432" s="24" t="s">
        <v>629</v>
      </c>
      <c r="J432" s="14" t="s">
        <v>29</v>
      </c>
      <c r="K432" s="15" t="s">
        <v>30</v>
      </c>
      <c r="L432" s="57"/>
      <c r="M432" s="14"/>
      <c r="N432" s="14" t="s">
        <v>480</v>
      </c>
      <c r="O432" s="14"/>
      <c r="P432" s="15" t="s">
        <v>492</v>
      </c>
      <c r="Q432" s="16">
        <v>31999</v>
      </c>
      <c r="R432" s="17">
        <v>58.82</v>
      </c>
      <c r="S432" s="18">
        <v>15154.4355</v>
      </c>
      <c r="T432" s="19" t="s">
        <v>36</v>
      </c>
      <c r="U432" s="20" t="s">
        <v>39</v>
      </c>
      <c r="V432" s="21" t="s">
        <v>40</v>
      </c>
      <c r="W432" s="22">
        <v>23</v>
      </c>
      <c r="X432" s="23"/>
    </row>
    <row r="433" spans="1:24" s="1" customFormat="1" ht="21" customHeight="1" x14ac:dyDescent="0.3">
      <c r="A433" s="24" t="s">
        <v>23</v>
      </c>
      <c r="B433" s="24" t="s">
        <v>637</v>
      </c>
      <c r="C433" s="27" t="s">
        <v>648</v>
      </c>
      <c r="D433" s="54"/>
      <c r="E433" s="39" t="str">
        <f>HYPERLINK("https://www.google.ru/search?q=1385837-002&amp;newwindow=1&amp;tbm=isch","Еще фото")</f>
        <v>Еще фото</v>
      </c>
      <c r="F433" s="13" t="s">
        <v>98</v>
      </c>
      <c r="G433" s="24" t="s">
        <v>634</v>
      </c>
      <c r="H433" s="24" t="s">
        <v>27</v>
      </c>
      <c r="I433" s="24" t="s">
        <v>629</v>
      </c>
      <c r="J433" s="14" t="s">
        <v>29</v>
      </c>
      <c r="K433" s="15" t="s">
        <v>30</v>
      </c>
      <c r="L433" s="57"/>
      <c r="M433" s="14"/>
      <c r="N433" s="14" t="s">
        <v>480</v>
      </c>
      <c r="O433" s="14"/>
      <c r="P433" s="15" t="s">
        <v>492</v>
      </c>
      <c r="Q433" s="16">
        <v>31999</v>
      </c>
      <c r="R433" s="17">
        <v>58.82</v>
      </c>
      <c r="S433" s="18">
        <v>15154.4355</v>
      </c>
      <c r="T433" s="19" t="s">
        <v>36</v>
      </c>
      <c r="U433" s="20" t="s">
        <v>41</v>
      </c>
      <c r="V433" s="21" t="s">
        <v>42</v>
      </c>
      <c r="W433" s="22">
        <v>26</v>
      </c>
      <c r="X433" s="23"/>
    </row>
    <row r="434" spans="1:24" s="1" customFormat="1" ht="21" customHeight="1" x14ac:dyDescent="0.3">
      <c r="A434" s="24" t="s">
        <v>23</v>
      </c>
      <c r="B434" s="24" t="s">
        <v>637</v>
      </c>
      <c r="C434" s="27" t="s">
        <v>648</v>
      </c>
      <c r="D434" s="54"/>
      <c r="E434" s="39" t="str">
        <f>HYPERLINK("https://www.google.ru/search?q=1385837-002&amp;newwindow=1&amp;tbm=isch","Еще фото")</f>
        <v>Еще фото</v>
      </c>
      <c r="F434" s="13" t="s">
        <v>98</v>
      </c>
      <c r="G434" s="24" t="s">
        <v>634</v>
      </c>
      <c r="H434" s="24" t="s">
        <v>27</v>
      </c>
      <c r="I434" s="24" t="s">
        <v>629</v>
      </c>
      <c r="J434" s="14" t="s">
        <v>29</v>
      </c>
      <c r="K434" s="15" t="s">
        <v>30</v>
      </c>
      <c r="L434" s="57"/>
      <c r="M434" s="14"/>
      <c r="N434" s="14" t="s">
        <v>480</v>
      </c>
      <c r="O434" s="14"/>
      <c r="P434" s="15" t="s">
        <v>492</v>
      </c>
      <c r="Q434" s="16">
        <v>31999</v>
      </c>
      <c r="R434" s="17">
        <v>58.82</v>
      </c>
      <c r="S434" s="18">
        <v>15154.4355</v>
      </c>
      <c r="T434" s="19" t="s">
        <v>36</v>
      </c>
      <c r="U434" s="20" t="s">
        <v>43</v>
      </c>
      <c r="V434" s="21" t="s">
        <v>44</v>
      </c>
      <c r="W434" s="22">
        <v>14</v>
      </c>
      <c r="X434" s="23"/>
    </row>
    <row r="435" spans="1:24" s="1" customFormat="1" ht="32.1" customHeight="1" x14ac:dyDescent="0.3">
      <c r="A435" s="24" t="s">
        <v>23</v>
      </c>
      <c r="B435" s="24" t="s">
        <v>637</v>
      </c>
      <c r="C435" s="27" t="s">
        <v>648</v>
      </c>
      <c r="D435" s="55"/>
      <c r="E435" s="39" t="str">
        <f>HYPERLINK("https://www.google.ru/search?q=1385837-002&amp;newwindow=1&amp;tbm=isch","Еще фото")</f>
        <v>Еще фото</v>
      </c>
      <c r="F435" s="13" t="s">
        <v>98</v>
      </c>
      <c r="G435" s="24" t="s">
        <v>634</v>
      </c>
      <c r="H435" s="24" t="s">
        <v>27</v>
      </c>
      <c r="I435" s="24" t="s">
        <v>629</v>
      </c>
      <c r="J435" s="14" t="s">
        <v>29</v>
      </c>
      <c r="K435" s="15" t="s">
        <v>30</v>
      </c>
      <c r="L435" s="58"/>
      <c r="M435" s="14"/>
      <c r="N435" s="14" t="s">
        <v>480</v>
      </c>
      <c r="O435" s="14"/>
      <c r="P435" s="15" t="s">
        <v>492</v>
      </c>
      <c r="Q435" s="16">
        <v>31999</v>
      </c>
      <c r="R435" s="17">
        <v>58.82</v>
      </c>
      <c r="S435" s="18">
        <v>15154.4355</v>
      </c>
      <c r="T435" s="19" t="s">
        <v>36</v>
      </c>
      <c r="U435" s="20" t="s">
        <v>104</v>
      </c>
      <c r="V435" s="21" t="s">
        <v>105</v>
      </c>
      <c r="W435" s="22">
        <v>8</v>
      </c>
      <c r="X435" s="23"/>
    </row>
    <row r="436" spans="1:24" s="1" customFormat="1" ht="35.1" customHeight="1" x14ac:dyDescent="0.3">
      <c r="A436" s="11" t="s">
        <v>23</v>
      </c>
      <c r="B436" s="11" t="s">
        <v>649</v>
      </c>
      <c r="C436" s="12" t="s">
        <v>650</v>
      </c>
      <c r="D436" s="53"/>
      <c r="E436" s="39" t="str">
        <f>HYPERLINK("https://www.google.ru/search?q=1372649-001&amp;newwindow=1&amp;tbm=isch","Еще фото")</f>
        <v>Еще фото</v>
      </c>
      <c r="F436" s="13" t="s">
        <v>98</v>
      </c>
      <c r="G436" s="11" t="s">
        <v>628</v>
      </c>
      <c r="H436" s="11" t="s">
        <v>27</v>
      </c>
      <c r="I436" s="14" t="s">
        <v>629</v>
      </c>
      <c r="J436" s="14" t="s">
        <v>47</v>
      </c>
      <c r="K436" s="15" t="s">
        <v>64</v>
      </c>
      <c r="L436" s="56" t="s">
        <v>651</v>
      </c>
      <c r="M436" s="14"/>
      <c r="N436" s="14" t="s">
        <v>33</v>
      </c>
      <c r="O436" s="14"/>
      <c r="P436" s="15" t="s">
        <v>492</v>
      </c>
      <c r="Q436" s="16">
        <v>30999</v>
      </c>
      <c r="R436" s="17">
        <v>55.75</v>
      </c>
      <c r="S436" s="18">
        <v>15775.4355</v>
      </c>
      <c r="T436" s="19" t="s">
        <v>36</v>
      </c>
      <c r="U436" s="20" t="s">
        <v>69</v>
      </c>
      <c r="V436" s="21" t="s">
        <v>70</v>
      </c>
      <c r="W436" s="22">
        <v>10</v>
      </c>
      <c r="X436" s="23"/>
    </row>
    <row r="437" spans="1:24" s="1" customFormat="1" ht="35.1" customHeight="1" x14ac:dyDescent="0.3">
      <c r="A437" s="24" t="s">
        <v>23</v>
      </c>
      <c r="B437" s="24" t="s">
        <v>649</v>
      </c>
      <c r="C437" s="12" t="s">
        <v>650</v>
      </c>
      <c r="D437" s="54"/>
      <c r="E437" s="39" t="str">
        <f>HYPERLINK("https://www.google.ru/search?q=1372649-001&amp;newwindow=1&amp;tbm=isch","Еще фото")</f>
        <v>Еще фото</v>
      </c>
      <c r="F437" s="13" t="s">
        <v>98</v>
      </c>
      <c r="G437" s="24" t="s">
        <v>628</v>
      </c>
      <c r="H437" s="24" t="s">
        <v>27</v>
      </c>
      <c r="I437" s="24" t="s">
        <v>629</v>
      </c>
      <c r="J437" s="14" t="s">
        <v>47</v>
      </c>
      <c r="K437" s="15" t="s">
        <v>64</v>
      </c>
      <c r="L437" s="57"/>
      <c r="M437" s="14"/>
      <c r="N437" s="14" t="s">
        <v>33</v>
      </c>
      <c r="O437" s="14"/>
      <c r="P437" s="15" t="s">
        <v>492</v>
      </c>
      <c r="Q437" s="16">
        <v>30999</v>
      </c>
      <c r="R437" s="17">
        <v>55.75</v>
      </c>
      <c r="S437" s="18">
        <v>15775.4355</v>
      </c>
      <c r="T437" s="19" t="s">
        <v>36</v>
      </c>
      <c r="U437" s="20" t="s">
        <v>37</v>
      </c>
      <c r="V437" s="21" t="s">
        <v>86</v>
      </c>
      <c r="W437" s="22">
        <v>5</v>
      </c>
      <c r="X437" s="23"/>
    </row>
    <row r="438" spans="1:24" s="1" customFormat="1" ht="36.950000000000003" customHeight="1" x14ac:dyDescent="0.3">
      <c r="A438" s="24" t="s">
        <v>23</v>
      </c>
      <c r="B438" s="24" t="s">
        <v>649</v>
      </c>
      <c r="C438" s="12" t="s">
        <v>650</v>
      </c>
      <c r="D438" s="55"/>
      <c r="E438" s="39" t="str">
        <f>HYPERLINK("https://www.google.ru/search?q=1372649-001&amp;newwindow=1&amp;tbm=isch","Еще фото")</f>
        <v>Еще фото</v>
      </c>
      <c r="F438" s="13" t="s">
        <v>98</v>
      </c>
      <c r="G438" s="24" t="s">
        <v>628</v>
      </c>
      <c r="H438" s="24" t="s">
        <v>27</v>
      </c>
      <c r="I438" s="24" t="s">
        <v>629</v>
      </c>
      <c r="J438" s="14" t="s">
        <v>47</v>
      </c>
      <c r="K438" s="15" t="s">
        <v>64</v>
      </c>
      <c r="L438" s="58"/>
      <c r="M438" s="14"/>
      <c r="N438" s="14" t="s">
        <v>33</v>
      </c>
      <c r="O438" s="14"/>
      <c r="P438" s="15" t="s">
        <v>492</v>
      </c>
      <c r="Q438" s="16">
        <v>30999</v>
      </c>
      <c r="R438" s="17">
        <v>55.75</v>
      </c>
      <c r="S438" s="18">
        <v>15775.4355</v>
      </c>
      <c r="T438" s="19" t="s">
        <v>36</v>
      </c>
      <c r="U438" s="20" t="s">
        <v>39</v>
      </c>
      <c r="V438" s="21" t="s">
        <v>38</v>
      </c>
      <c r="W438" s="22">
        <v>11</v>
      </c>
      <c r="X438" s="23"/>
    </row>
    <row r="439" spans="1:24" s="1" customFormat="1" ht="35.1" customHeight="1" x14ac:dyDescent="0.3">
      <c r="A439" s="11" t="s">
        <v>23</v>
      </c>
      <c r="B439" s="11" t="s">
        <v>652</v>
      </c>
      <c r="C439" s="12" t="s">
        <v>653</v>
      </c>
      <c r="D439" s="53"/>
      <c r="E439" s="39" t="str">
        <f>HYPERLINK("https://www.google.ru/search?q=1386904-707&amp;newwindow=1&amp;tbm=isch","Еще фото")</f>
        <v>Еще фото</v>
      </c>
      <c r="F439" s="13"/>
      <c r="G439" s="11" t="s">
        <v>634</v>
      </c>
      <c r="H439" s="11" t="s">
        <v>27</v>
      </c>
      <c r="I439" s="14" t="s">
        <v>629</v>
      </c>
      <c r="J439" s="14" t="s">
        <v>29</v>
      </c>
      <c r="K439" s="15" t="s">
        <v>30</v>
      </c>
      <c r="L439" s="56" t="s">
        <v>654</v>
      </c>
      <c r="M439" s="14"/>
      <c r="N439" s="14" t="s">
        <v>249</v>
      </c>
      <c r="O439" s="14"/>
      <c r="P439" s="15" t="s">
        <v>51</v>
      </c>
      <c r="Q439" s="16">
        <v>33599</v>
      </c>
      <c r="R439" s="17">
        <v>54.11</v>
      </c>
      <c r="S439" s="18">
        <v>17730.4355</v>
      </c>
      <c r="T439" s="19" t="s">
        <v>36</v>
      </c>
      <c r="U439" s="20" t="s">
        <v>37</v>
      </c>
      <c r="V439" s="21" t="s">
        <v>38</v>
      </c>
      <c r="W439" s="22">
        <v>4</v>
      </c>
      <c r="X439" s="23"/>
    </row>
    <row r="440" spans="1:24" s="1" customFormat="1" ht="35.1" customHeight="1" x14ac:dyDescent="0.3">
      <c r="A440" s="24" t="s">
        <v>23</v>
      </c>
      <c r="B440" s="24" t="s">
        <v>652</v>
      </c>
      <c r="C440" s="12" t="s">
        <v>653</v>
      </c>
      <c r="D440" s="54"/>
      <c r="E440" s="39" t="str">
        <f>HYPERLINK("https://www.google.ru/search?q=1386904-707&amp;newwindow=1&amp;tbm=isch","Еще фото")</f>
        <v>Еще фото</v>
      </c>
      <c r="F440" s="13"/>
      <c r="G440" s="24" t="s">
        <v>634</v>
      </c>
      <c r="H440" s="24" t="s">
        <v>27</v>
      </c>
      <c r="I440" s="24" t="s">
        <v>629</v>
      </c>
      <c r="J440" s="14" t="s">
        <v>29</v>
      </c>
      <c r="K440" s="15" t="s">
        <v>30</v>
      </c>
      <c r="L440" s="57"/>
      <c r="M440" s="14"/>
      <c r="N440" s="14" t="s">
        <v>249</v>
      </c>
      <c r="O440" s="14"/>
      <c r="P440" s="15" t="s">
        <v>51</v>
      </c>
      <c r="Q440" s="16">
        <v>33599</v>
      </c>
      <c r="R440" s="17">
        <v>54.11</v>
      </c>
      <c r="S440" s="18">
        <v>17730.4355</v>
      </c>
      <c r="T440" s="19" t="s">
        <v>36</v>
      </c>
      <c r="U440" s="20" t="s">
        <v>39</v>
      </c>
      <c r="V440" s="21" t="s">
        <v>40</v>
      </c>
      <c r="W440" s="22">
        <v>7</v>
      </c>
      <c r="X440" s="23"/>
    </row>
    <row r="441" spans="1:24" s="1" customFormat="1" ht="36.950000000000003" customHeight="1" x14ac:dyDescent="0.3">
      <c r="A441" s="24" t="s">
        <v>23</v>
      </c>
      <c r="B441" s="24" t="s">
        <v>652</v>
      </c>
      <c r="C441" s="12" t="s">
        <v>653</v>
      </c>
      <c r="D441" s="55"/>
      <c r="E441" s="39" t="str">
        <f>HYPERLINK("https://www.google.ru/search?q=1386904-707&amp;newwindow=1&amp;tbm=isch","Еще фото")</f>
        <v>Еще фото</v>
      </c>
      <c r="F441" s="13"/>
      <c r="G441" s="24" t="s">
        <v>634</v>
      </c>
      <c r="H441" s="24" t="s">
        <v>27</v>
      </c>
      <c r="I441" s="24" t="s">
        <v>629</v>
      </c>
      <c r="J441" s="14" t="s">
        <v>29</v>
      </c>
      <c r="K441" s="15" t="s">
        <v>30</v>
      </c>
      <c r="L441" s="58"/>
      <c r="M441" s="14"/>
      <c r="N441" s="14" t="s">
        <v>249</v>
      </c>
      <c r="O441" s="14"/>
      <c r="P441" s="15" t="s">
        <v>51</v>
      </c>
      <c r="Q441" s="16">
        <v>33599</v>
      </c>
      <c r="R441" s="17">
        <v>54.11</v>
      </c>
      <c r="S441" s="18">
        <v>17730.4355</v>
      </c>
      <c r="T441" s="19" t="s">
        <v>36</v>
      </c>
      <c r="U441" s="20" t="s">
        <v>41</v>
      </c>
      <c r="V441" s="21" t="s">
        <v>42</v>
      </c>
      <c r="W441" s="22">
        <v>2</v>
      </c>
      <c r="X441" s="23"/>
    </row>
    <row r="442" spans="1:24" s="1" customFormat="1" ht="21" customHeight="1" x14ac:dyDescent="0.3">
      <c r="A442" s="11" t="s">
        <v>23</v>
      </c>
      <c r="B442" s="11" t="s">
        <v>655</v>
      </c>
      <c r="C442" s="26" t="s">
        <v>656</v>
      </c>
      <c r="D442" s="53"/>
      <c r="E442" s="39" t="str">
        <f>HYPERLINK("https://www.google.ru/search?q=1385839-410&amp;newwindow=1&amp;tbm=isch","Еще фото")</f>
        <v>Еще фото</v>
      </c>
      <c r="F442" s="13" t="s">
        <v>98</v>
      </c>
      <c r="G442" s="11" t="s">
        <v>657</v>
      </c>
      <c r="H442" s="11" t="s">
        <v>27</v>
      </c>
      <c r="I442" s="14" t="s">
        <v>629</v>
      </c>
      <c r="J442" s="14" t="s">
        <v>29</v>
      </c>
      <c r="K442" s="15" t="s">
        <v>30</v>
      </c>
      <c r="L442" s="56" t="s">
        <v>658</v>
      </c>
      <c r="M442" s="14"/>
      <c r="N442" s="14" t="s">
        <v>91</v>
      </c>
      <c r="O442" s="14"/>
      <c r="P442" s="15" t="s">
        <v>492</v>
      </c>
      <c r="Q442" s="16">
        <v>38999</v>
      </c>
      <c r="R442" s="17">
        <v>54.11</v>
      </c>
      <c r="S442" s="18">
        <v>20582.4355</v>
      </c>
      <c r="T442" s="19" t="s">
        <v>36</v>
      </c>
      <c r="U442" s="20" t="s">
        <v>37</v>
      </c>
      <c r="V442" s="21" t="s">
        <v>38</v>
      </c>
      <c r="W442" s="22">
        <v>3</v>
      </c>
      <c r="X442" s="23"/>
    </row>
    <row r="443" spans="1:24" s="1" customFormat="1" ht="21" customHeight="1" x14ac:dyDescent="0.3">
      <c r="A443" s="24" t="s">
        <v>23</v>
      </c>
      <c r="B443" s="24" t="s">
        <v>655</v>
      </c>
      <c r="C443" s="27" t="s">
        <v>656</v>
      </c>
      <c r="D443" s="54"/>
      <c r="E443" s="39" t="str">
        <f>HYPERLINK("https://www.google.ru/search?q=1385839-410&amp;newwindow=1&amp;tbm=isch","Еще фото")</f>
        <v>Еще фото</v>
      </c>
      <c r="F443" s="13" t="s">
        <v>98</v>
      </c>
      <c r="G443" s="24" t="s">
        <v>657</v>
      </c>
      <c r="H443" s="24" t="s">
        <v>27</v>
      </c>
      <c r="I443" s="24" t="s">
        <v>629</v>
      </c>
      <c r="J443" s="14" t="s">
        <v>29</v>
      </c>
      <c r="K443" s="15" t="s">
        <v>30</v>
      </c>
      <c r="L443" s="57"/>
      <c r="M443" s="14"/>
      <c r="N443" s="14" t="s">
        <v>91</v>
      </c>
      <c r="O443" s="14"/>
      <c r="P443" s="15" t="s">
        <v>492</v>
      </c>
      <c r="Q443" s="16">
        <v>38999</v>
      </c>
      <c r="R443" s="17">
        <v>54.11</v>
      </c>
      <c r="S443" s="18">
        <v>20582.4355</v>
      </c>
      <c r="T443" s="19" t="s">
        <v>36</v>
      </c>
      <c r="U443" s="20" t="s">
        <v>39</v>
      </c>
      <c r="V443" s="21" t="s">
        <v>40</v>
      </c>
      <c r="W443" s="22">
        <v>16</v>
      </c>
      <c r="X443" s="23"/>
    </row>
    <row r="444" spans="1:24" s="1" customFormat="1" ht="21" customHeight="1" x14ac:dyDescent="0.3">
      <c r="A444" s="24" t="s">
        <v>23</v>
      </c>
      <c r="B444" s="24" t="s">
        <v>655</v>
      </c>
      <c r="C444" s="27" t="s">
        <v>656</v>
      </c>
      <c r="D444" s="54"/>
      <c r="E444" s="39" t="str">
        <f>HYPERLINK("https://www.google.ru/search?q=1385839-410&amp;newwindow=1&amp;tbm=isch","Еще фото")</f>
        <v>Еще фото</v>
      </c>
      <c r="F444" s="13" t="s">
        <v>98</v>
      </c>
      <c r="G444" s="24" t="s">
        <v>657</v>
      </c>
      <c r="H444" s="24" t="s">
        <v>27</v>
      </c>
      <c r="I444" s="24" t="s">
        <v>629</v>
      </c>
      <c r="J444" s="14" t="s">
        <v>29</v>
      </c>
      <c r="K444" s="15" t="s">
        <v>30</v>
      </c>
      <c r="L444" s="57"/>
      <c r="M444" s="14"/>
      <c r="N444" s="14" t="s">
        <v>91</v>
      </c>
      <c r="O444" s="14"/>
      <c r="P444" s="15" t="s">
        <v>492</v>
      </c>
      <c r="Q444" s="16">
        <v>38999</v>
      </c>
      <c r="R444" s="17">
        <v>54.11</v>
      </c>
      <c r="S444" s="18">
        <v>20582.4355</v>
      </c>
      <c r="T444" s="19" t="s">
        <v>36</v>
      </c>
      <c r="U444" s="20" t="s">
        <v>41</v>
      </c>
      <c r="V444" s="21" t="s">
        <v>42</v>
      </c>
      <c r="W444" s="22">
        <v>29</v>
      </c>
      <c r="X444" s="23"/>
    </row>
    <row r="445" spans="1:24" s="1" customFormat="1" ht="21" customHeight="1" x14ac:dyDescent="0.3">
      <c r="A445" s="24" t="s">
        <v>23</v>
      </c>
      <c r="B445" s="24" t="s">
        <v>655</v>
      </c>
      <c r="C445" s="27" t="s">
        <v>656</v>
      </c>
      <c r="D445" s="54"/>
      <c r="E445" s="39" t="str">
        <f>HYPERLINK("https://www.google.ru/search?q=1385839-410&amp;newwindow=1&amp;tbm=isch","Еще фото")</f>
        <v>Еще фото</v>
      </c>
      <c r="F445" s="13" t="s">
        <v>98</v>
      </c>
      <c r="G445" s="24" t="s">
        <v>657</v>
      </c>
      <c r="H445" s="24" t="s">
        <v>27</v>
      </c>
      <c r="I445" s="24" t="s">
        <v>629</v>
      </c>
      <c r="J445" s="14" t="s">
        <v>29</v>
      </c>
      <c r="K445" s="15" t="s">
        <v>30</v>
      </c>
      <c r="L445" s="57"/>
      <c r="M445" s="14"/>
      <c r="N445" s="14" t="s">
        <v>91</v>
      </c>
      <c r="O445" s="14"/>
      <c r="P445" s="15" t="s">
        <v>492</v>
      </c>
      <c r="Q445" s="16">
        <v>38999</v>
      </c>
      <c r="R445" s="17">
        <v>54.11</v>
      </c>
      <c r="S445" s="18">
        <v>20582.4355</v>
      </c>
      <c r="T445" s="19" t="s">
        <v>36</v>
      </c>
      <c r="U445" s="20" t="s">
        <v>43</v>
      </c>
      <c r="V445" s="21" t="s">
        <v>44</v>
      </c>
      <c r="W445" s="22">
        <v>6</v>
      </c>
      <c r="X445" s="23"/>
    </row>
    <row r="446" spans="1:24" s="1" customFormat="1" ht="32.1" customHeight="1" x14ac:dyDescent="0.3">
      <c r="A446" s="24" t="s">
        <v>23</v>
      </c>
      <c r="B446" s="24" t="s">
        <v>655</v>
      </c>
      <c r="C446" s="27" t="s">
        <v>656</v>
      </c>
      <c r="D446" s="55"/>
      <c r="E446" s="39" t="str">
        <f>HYPERLINK("https://www.google.ru/search?q=1385839-410&amp;newwindow=1&amp;tbm=isch","Еще фото")</f>
        <v>Еще фото</v>
      </c>
      <c r="F446" s="13" t="s">
        <v>98</v>
      </c>
      <c r="G446" s="24" t="s">
        <v>657</v>
      </c>
      <c r="H446" s="24" t="s">
        <v>27</v>
      </c>
      <c r="I446" s="24" t="s">
        <v>629</v>
      </c>
      <c r="J446" s="14" t="s">
        <v>29</v>
      </c>
      <c r="K446" s="15" t="s">
        <v>30</v>
      </c>
      <c r="L446" s="58"/>
      <c r="M446" s="14"/>
      <c r="N446" s="14" t="s">
        <v>91</v>
      </c>
      <c r="O446" s="14"/>
      <c r="P446" s="15" t="s">
        <v>492</v>
      </c>
      <c r="Q446" s="16">
        <v>38999</v>
      </c>
      <c r="R446" s="17">
        <v>54.11</v>
      </c>
      <c r="S446" s="18">
        <v>20582.4355</v>
      </c>
      <c r="T446" s="19" t="s">
        <v>36</v>
      </c>
      <c r="U446" s="20" t="s">
        <v>104</v>
      </c>
      <c r="V446" s="21" t="s">
        <v>105</v>
      </c>
      <c r="W446" s="22">
        <v>3</v>
      </c>
      <c r="X446" s="23"/>
    </row>
    <row r="447" spans="1:24" s="1" customFormat="1" ht="51.95" customHeight="1" x14ac:dyDescent="0.3">
      <c r="A447" s="11" t="s">
        <v>23</v>
      </c>
      <c r="B447" s="11" t="s">
        <v>637</v>
      </c>
      <c r="C447" s="12" t="s">
        <v>659</v>
      </c>
      <c r="D447" s="59"/>
      <c r="E447" s="39" t="str">
        <f>HYPERLINK("https://www.google.ru/search?q=1385852-015&amp;newwindow=1&amp;tbm=isch","Еще фото")</f>
        <v>Еще фото</v>
      </c>
      <c r="F447" s="13"/>
      <c r="G447" s="11" t="s">
        <v>634</v>
      </c>
      <c r="H447" s="11" t="s">
        <v>27</v>
      </c>
      <c r="I447" s="14" t="s">
        <v>629</v>
      </c>
      <c r="J447" s="14" t="s">
        <v>29</v>
      </c>
      <c r="K447" s="15" t="s">
        <v>64</v>
      </c>
      <c r="L447" s="56" t="s">
        <v>639</v>
      </c>
      <c r="M447" s="14"/>
      <c r="N447" s="14" t="s">
        <v>84</v>
      </c>
      <c r="O447" s="14"/>
      <c r="P447" s="15" t="s">
        <v>492</v>
      </c>
      <c r="Q447" s="16">
        <v>21299</v>
      </c>
      <c r="R447" s="17">
        <v>52.45</v>
      </c>
      <c r="S447" s="18">
        <v>11646.9355</v>
      </c>
      <c r="T447" s="19" t="s">
        <v>36</v>
      </c>
      <c r="U447" s="20" t="s">
        <v>69</v>
      </c>
      <c r="V447" s="21" t="s">
        <v>70</v>
      </c>
      <c r="W447" s="22">
        <v>13</v>
      </c>
      <c r="X447" s="23"/>
    </row>
    <row r="448" spans="1:24" s="1" customFormat="1" ht="60.95" customHeight="1" x14ac:dyDescent="0.3">
      <c r="A448" s="24" t="s">
        <v>23</v>
      </c>
      <c r="B448" s="24" t="s">
        <v>637</v>
      </c>
      <c r="C448" s="12" t="s">
        <v>659</v>
      </c>
      <c r="D448" s="60"/>
      <c r="E448" s="39" t="str">
        <f>HYPERLINK("https://www.google.ru/search?q=1385852-015&amp;newwindow=1&amp;tbm=isch","Еще фото")</f>
        <v>Еще фото</v>
      </c>
      <c r="F448" s="13"/>
      <c r="G448" s="24" t="s">
        <v>634</v>
      </c>
      <c r="H448" s="24" t="s">
        <v>27</v>
      </c>
      <c r="I448" s="24" t="s">
        <v>629</v>
      </c>
      <c r="J448" s="14" t="s">
        <v>29</v>
      </c>
      <c r="K448" s="15" t="s">
        <v>64</v>
      </c>
      <c r="L448" s="58"/>
      <c r="M448" s="14"/>
      <c r="N448" s="14" t="s">
        <v>84</v>
      </c>
      <c r="O448" s="14"/>
      <c r="P448" s="15" t="s">
        <v>492</v>
      </c>
      <c r="Q448" s="16">
        <v>21299</v>
      </c>
      <c r="R448" s="17">
        <v>52.45</v>
      </c>
      <c r="S448" s="18">
        <v>11646.9355</v>
      </c>
      <c r="T448" s="19" t="s">
        <v>36</v>
      </c>
      <c r="U448" s="20" t="s">
        <v>37</v>
      </c>
      <c r="V448" s="21" t="s">
        <v>86</v>
      </c>
      <c r="W448" s="22">
        <v>12</v>
      </c>
      <c r="X448" s="23"/>
    </row>
    <row r="449" spans="1:24" s="1" customFormat="1" ht="35.1" customHeight="1" x14ac:dyDescent="0.3">
      <c r="A449" s="11" t="s">
        <v>23</v>
      </c>
      <c r="B449" s="11" t="s">
        <v>660</v>
      </c>
      <c r="C449" s="12" t="s">
        <v>661</v>
      </c>
      <c r="D449" s="53"/>
      <c r="E449" s="39" t="str">
        <f>HYPERLINK("https://www.google.ru/search?q=1384644-001&amp;newwindow=1&amp;tbm=isch","Еще фото")</f>
        <v>Еще фото</v>
      </c>
      <c r="F449" s="13"/>
      <c r="G449" s="11" t="s">
        <v>657</v>
      </c>
      <c r="H449" s="11" t="s">
        <v>27</v>
      </c>
      <c r="I449" s="14" t="s">
        <v>629</v>
      </c>
      <c r="J449" s="14" t="s">
        <v>47</v>
      </c>
      <c r="K449" s="15" t="s">
        <v>30</v>
      </c>
      <c r="L449" s="56" t="s">
        <v>662</v>
      </c>
      <c r="M449" s="14"/>
      <c r="N449" s="14" t="s">
        <v>33</v>
      </c>
      <c r="O449" s="14"/>
      <c r="P449" s="15" t="s">
        <v>492</v>
      </c>
      <c r="Q449" s="16">
        <v>60999</v>
      </c>
      <c r="R449" s="17">
        <v>49.77</v>
      </c>
      <c r="S449" s="18">
        <v>35233.4355</v>
      </c>
      <c r="T449" s="19" t="s">
        <v>36</v>
      </c>
      <c r="U449" s="20" t="s">
        <v>37</v>
      </c>
      <c r="V449" s="21" t="s">
        <v>38</v>
      </c>
      <c r="W449" s="22">
        <v>1</v>
      </c>
      <c r="X449" s="23"/>
    </row>
    <row r="450" spans="1:24" s="1" customFormat="1" ht="35.1" customHeight="1" x14ac:dyDescent="0.3">
      <c r="A450" s="24" t="s">
        <v>23</v>
      </c>
      <c r="B450" s="24" t="s">
        <v>660</v>
      </c>
      <c r="C450" s="12" t="s">
        <v>661</v>
      </c>
      <c r="D450" s="54"/>
      <c r="E450" s="39" t="str">
        <f>HYPERLINK("https://www.google.ru/search?q=1384644-001&amp;newwindow=1&amp;tbm=isch","Еще фото")</f>
        <v>Еще фото</v>
      </c>
      <c r="F450" s="13"/>
      <c r="G450" s="24" t="s">
        <v>657</v>
      </c>
      <c r="H450" s="24" t="s">
        <v>27</v>
      </c>
      <c r="I450" s="24" t="s">
        <v>629</v>
      </c>
      <c r="J450" s="14" t="s">
        <v>47</v>
      </c>
      <c r="K450" s="15" t="s">
        <v>30</v>
      </c>
      <c r="L450" s="57"/>
      <c r="M450" s="14"/>
      <c r="N450" s="14" t="s">
        <v>33</v>
      </c>
      <c r="O450" s="14"/>
      <c r="P450" s="15" t="s">
        <v>492</v>
      </c>
      <c r="Q450" s="16">
        <v>60999</v>
      </c>
      <c r="R450" s="17">
        <v>49.77</v>
      </c>
      <c r="S450" s="18">
        <v>35233.4355</v>
      </c>
      <c r="T450" s="19" t="s">
        <v>36</v>
      </c>
      <c r="U450" s="20" t="s">
        <v>39</v>
      </c>
      <c r="V450" s="21" t="s">
        <v>40</v>
      </c>
      <c r="W450" s="22">
        <v>6</v>
      </c>
      <c r="X450" s="23"/>
    </row>
    <row r="451" spans="1:24" s="1" customFormat="1" ht="36.950000000000003" customHeight="1" x14ac:dyDescent="0.3">
      <c r="A451" s="24" t="s">
        <v>23</v>
      </c>
      <c r="B451" s="24" t="s">
        <v>660</v>
      </c>
      <c r="C451" s="12" t="s">
        <v>661</v>
      </c>
      <c r="D451" s="55"/>
      <c r="E451" s="39" t="str">
        <f>HYPERLINK("https://www.google.ru/search?q=1384644-001&amp;newwindow=1&amp;tbm=isch","Еще фото")</f>
        <v>Еще фото</v>
      </c>
      <c r="F451" s="13"/>
      <c r="G451" s="24" t="s">
        <v>657</v>
      </c>
      <c r="H451" s="24" t="s">
        <v>27</v>
      </c>
      <c r="I451" s="24" t="s">
        <v>629</v>
      </c>
      <c r="J451" s="14" t="s">
        <v>47</v>
      </c>
      <c r="K451" s="15" t="s">
        <v>30</v>
      </c>
      <c r="L451" s="58"/>
      <c r="M451" s="14"/>
      <c r="N451" s="14" t="s">
        <v>33</v>
      </c>
      <c r="O451" s="14"/>
      <c r="P451" s="15" t="s">
        <v>492</v>
      </c>
      <c r="Q451" s="16">
        <v>60999</v>
      </c>
      <c r="R451" s="17">
        <v>49.77</v>
      </c>
      <c r="S451" s="18">
        <v>35233.4355</v>
      </c>
      <c r="T451" s="19" t="s">
        <v>36</v>
      </c>
      <c r="U451" s="20" t="s">
        <v>41</v>
      </c>
      <c r="V451" s="21" t="s">
        <v>42</v>
      </c>
      <c r="W451" s="22">
        <v>1</v>
      </c>
      <c r="X451" s="23"/>
    </row>
    <row r="452" spans="1:24" s="1" customFormat="1" ht="35.1" customHeight="1" x14ac:dyDescent="0.3">
      <c r="A452" s="11" t="s">
        <v>23</v>
      </c>
      <c r="B452" s="11" t="s">
        <v>663</v>
      </c>
      <c r="C452" s="12" t="s">
        <v>664</v>
      </c>
      <c r="D452" s="53"/>
      <c r="E452" s="39" t="str">
        <f>HYPERLINK("https://www.google.ru/search?q=1384641-308&amp;newwindow=1&amp;tbm=isch","Еще фото")</f>
        <v>Еще фото</v>
      </c>
      <c r="F452" s="13"/>
      <c r="G452" s="11" t="s">
        <v>634</v>
      </c>
      <c r="H452" s="11" t="s">
        <v>27</v>
      </c>
      <c r="I452" s="14" t="s">
        <v>629</v>
      </c>
      <c r="J452" s="14" t="s">
        <v>47</v>
      </c>
      <c r="K452" s="15" t="s">
        <v>30</v>
      </c>
      <c r="L452" s="56" t="s">
        <v>665</v>
      </c>
      <c r="M452" s="14"/>
      <c r="N452" s="14" t="s">
        <v>125</v>
      </c>
      <c r="O452" s="14"/>
      <c r="P452" s="15" t="s">
        <v>492</v>
      </c>
      <c r="Q452" s="16">
        <v>46999</v>
      </c>
      <c r="R452" s="17">
        <v>49.77</v>
      </c>
      <c r="S452" s="18">
        <v>27148.9355</v>
      </c>
      <c r="T452" s="19" t="s">
        <v>36</v>
      </c>
      <c r="U452" s="20" t="s">
        <v>37</v>
      </c>
      <c r="V452" s="21" t="s">
        <v>38</v>
      </c>
      <c r="W452" s="22">
        <v>3</v>
      </c>
      <c r="X452" s="23"/>
    </row>
    <row r="453" spans="1:24" s="1" customFormat="1" ht="35.1" customHeight="1" x14ac:dyDescent="0.3">
      <c r="A453" s="24" t="s">
        <v>23</v>
      </c>
      <c r="B453" s="24" t="s">
        <v>663</v>
      </c>
      <c r="C453" s="12" t="s">
        <v>664</v>
      </c>
      <c r="D453" s="54"/>
      <c r="E453" s="39" t="str">
        <f>HYPERLINK("https://www.google.ru/search?q=1384641-308&amp;newwindow=1&amp;tbm=isch","Еще фото")</f>
        <v>Еще фото</v>
      </c>
      <c r="F453" s="13"/>
      <c r="G453" s="24" t="s">
        <v>634</v>
      </c>
      <c r="H453" s="24" t="s">
        <v>27</v>
      </c>
      <c r="I453" s="24" t="s">
        <v>629</v>
      </c>
      <c r="J453" s="14" t="s">
        <v>47</v>
      </c>
      <c r="K453" s="15" t="s">
        <v>30</v>
      </c>
      <c r="L453" s="57"/>
      <c r="M453" s="14"/>
      <c r="N453" s="14" t="s">
        <v>125</v>
      </c>
      <c r="O453" s="14"/>
      <c r="P453" s="15" t="s">
        <v>492</v>
      </c>
      <c r="Q453" s="16">
        <v>46999</v>
      </c>
      <c r="R453" s="17">
        <v>49.77</v>
      </c>
      <c r="S453" s="18">
        <v>27148.9355</v>
      </c>
      <c r="T453" s="19" t="s">
        <v>36</v>
      </c>
      <c r="U453" s="20" t="s">
        <v>39</v>
      </c>
      <c r="V453" s="21" t="s">
        <v>40</v>
      </c>
      <c r="W453" s="22">
        <v>7</v>
      </c>
      <c r="X453" s="23"/>
    </row>
    <row r="454" spans="1:24" s="1" customFormat="1" ht="36.950000000000003" customHeight="1" x14ac:dyDescent="0.3">
      <c r="A454" s="24" t="s">
        <v>23</v>
      </c>
      <c r="B454" s="24" t="s">
        <v>663</v>
      </c>
      <c r="C454" s="12" t="s">
        <v>664</v>
      </c>
      <c r="D454" s="55"/>
      <c r="E454" s="39" t="str">
        <f>HYPERLINK("https://www.google.ru/search?q=1384641-308&amp;newwindow=1&amp;tbm=isch","Еще фото")</f>
        <v>Еще фото</v>
      </c>
      <c r="F454" s="13"/>
      <c r="G454" s="24" t="s">
        <v>634</v>
      </c>
      <c r="H454" s="24" t="s">
        <v>27</v>
      </c>
      <c r="I454" s="24" t="s">
        <v>629</v>
      </c>
      <c r="J454" s="14" t="s">
        <v>47</v>
      </c>
      <c r="K454" s="15" t="s">
        <v>30</v>
      </c>
      <c r="L454" s="58"/>
      <c r="M454" s="14"/>
      <c r="N454" s="14" t="s">
        <v>125</v>
      </c>
      <c r="O454" s="14"/>
      <c r="P454" s="15" t="s">
        <v>492</v>
      </c>
      <c r="Q454" s="16">
        <v>46999</v>
      </c>
      <c r="R454" s="17">
        <v>49.77</v>
      </c>
      <c r="S454" s="18">
        <v>27148.9355</v>
      </c>
      <c r="T454" s="19" t="s">
        <v>36</v>
      </c>
      <c r="U454" s="20" t="s">
        <v>43</v>
      </c>
      <c r="V454" s="21" t="s">
        <v>44</v>
      </c>
      <c r="W454" s="22">
        <v>5</v>
      </c>
      <c r="X454" s="23"/>
    </row>
    <row r="455" spans="1:24" s="1" customFormat="1" ht="108" customHeight="1" x14ac:dyDescent="0.3">
      <c r="A455" s="11" t="s">
        <v>23</v>
      </c>
      <c r="B455" s="11" t="s">
        <v>666</v>
      </c>
      <c r="C455" s="12" t="s">
        <v>667</v>
      </c>
      <c r="D455" s="25"/>
      <c r="E455" s="39" t="str">
        <f>HYPERLINK("https://www.google.ru/search?q=1342792-626&amp;newwindow=1&amp;tbm=isch","Еще фото")</f>
        <v>Еще фото</v>
      </c>
      <c r="F455" s="13"/>
      <c r="G455" s="11" t="s">
        <v>634</v>
      </c>
      <c r="H455" s="11" t="s">
        <v>27</v>
      </c>
      <c r="I455" s="14" t="s">
        <v>629</v>
      </c>
      <c r="J455" s="14" t="s">
        <v>47</v>
      </c>
      <c r="K455" s="15" t="s">
        <v>64</v>
      </c>
      <c r="L455" s="14" t="s">
        <v>668</v>
      </c>
      <c r="M455" s="14" t="s">
        <v>669</v>
      </c>
      <c r="N455" s="14" t="s">
        <v>670</v>
      </c>
      <c r="O455" s="14" t="s">
        <v>671</v>
      </c>
      <c r="P455" s="15" t="s">
        <v>672</v>
      </c>
      <c r="Q455" s="16">
        <v>24199</v>
      </c>
      <c r="R455" s="17">
        <v>48.89</v>
      </c>
      <c r="S455" s="18">
        <v>14222.9355</v>
      </c>
      <c r="T455" s="19" t="s">
        <v>36</v>
      </c>
      <c r="U455" s="20" t="s">
        <v>69</v>
      </c>
      <c r="V455" s="21" t="s">
        <v>70</v>
      </c>
      <c r="W455" s="22">
        <v>2</v>
      </c>
      <c r="X455" s="23"/>
    </row>
    <row r="456" spans="1:24" s="1" customFormat="1" ht="108" customHeight="1" x14ac:dyDescent="0.3">
      <c r="A456" s="11" t="s">
        <v>23</v>
      </c>
      <c r="B456" s="11" t="s">
        <v>673</v>
      </c>
      <c r="C456" s="12" t="s">
        <v>674</v>
      </c>
      <c r="D456" s="25"/>
      <c r="E456" s="39" t="str">
        <f>HYPERLINK("https://www.google.ru/search?q=1342791-001&amp;newwindow=1&amp;tbm=isch","Еще фото")</f>
        <v>Еще фото</v>
      </c>
      <c r="F456" s="13"/>
      <c r="G456" s="11" t="s">
        <v>657</v>
      </c>
      <c r="H456" s="11" t="s">
        <v>27</v>
      </c>
      <c r="I456" s="14" t="s">
        <v>629</v>
      </c>
      <c r="J456" s="14" t="s">
        <v>29</v>
      </c>
      <c r="K456" s="15" t="s">
        <v>64</v>
      </c>
      <c r="L456" s="14" t="s">
        <v>675</v>
      </c>
      <c r="M456" s="14" t="s">
        <v>32</v>
      </c>
      <c r="N456" s="14" t="s">
        <v>33</v>
      </c>
      <c r="O456" s="14" t="s">
        <v>676</v>
      </c>
      <c r="P456" s="15" t="s">
        <v>677</v>
      </c>
      <c r="Q456" s="16">
        <v>20390</v>
      </c>
      <c r="R456" s="17">
        <v>48.86</v>
      </c>
      <c r="S456" s="18">
        <v>11991.9355</v>
      </c>
      <c r="T456" s="19" t="s">
        <v>36</v>
      </c>
      <c r="U456" s="20" t="s">
        <v>41</v>
      </c>
      <c r="V456" s="21" t="s">
        <v>40</v>
      </c>
      <c r="W456" s="22">
        <v>6</v>
      </c>
      <c r="X456" s="23"/>
    </row>
    <row r="457" spans="1:24" s="1" customFormat="1" ht="108" customHeight="1" x14ac:dyDescent="0.3">
      <c r="A457" s="11" t="s">
        <v>23</v>
      </c>
      <c r="B457" s="11" t="s">
        <v>678</v>
      </c>
      <c r="C457" s="12" t="s">
        <v>679</v>
      </c>
      <c r="D457" s="25"/>
      <c r="E457" s="39" t="str">
        <f>HYPERLINK("https://www.google.ru/search?q=1323839-001&amp;newwindow=1&amp;tbm=isch","Еще фото")</f>
        <v>Еще фото</v>
      </c>
      <c r="F457" s="13"/>
      <c r="G457" s="11" t="s">
        <v>628</v>
      </c>
      <c r="H457" s="11" t="s">
        <v>27</v>
      </c>
      <c r="I457" s="14" t="s">
        <v>629</v>
      </c>
      <c r="J457" s="14" t="s">
        <v>29</v>
      </c>
      <c r="K457" s="15" t="s">
        <v>64</v>
      </c>
      <c r="L457" s="14" t="s">
        <v>680</v>
      </c>
      <c r="M457" s="14"/>
      <c r="N457" s="14" t="s">
        <v>33</v>
      </c>
      <c r="O457" s="14" t="s">
        <v>681</v>
      </c>
      <c r="P457" s="15" t="s">
        <v>682</v>
      </c>
      <c r="Q457" s="16">
        <v>22090</v>
      </c>
      <c r="R457" s="17">
        <v>48.86</v>
      </c>
      <c r="S457" s="18">
        <v>12992.4355</v>
      </c>
      <c r="T457" s="19" t="s">
        <v>36</v>
      </c>
      <c r="U457" s="20" t="s">
        <v>37</v>
      </c>
      <c r="V457" s="21" t="s">
        <v>86</v>
      </c>
      <c r="W457" s="22">
        <v>2</v>
      </c>
      <c r="X457" s="23"/>
    </row>
    <row r="458" spans="1:24" s="1" customFormat="1" ht="26.1" customHeight="1" x14ac:dyDescent="0.3">
      <c r="A458" s="11" t="s">
        <v>23</v>
      </c>
      <c r="B458" s="11" t="s">
        <v>683</v>
      </c>
      <c r="C458" s="12" t="s">
        <v>684</v>
      </c>
      <c r="D458" s="53"/>
      <c r="E458" s="39" t="str">
        <f>HYPERLINK("https://www.google.ru/search?q=1372693-410&amp;newwindow=1&amp;tbm=isch","Еще фото")</f>
        <v>Еще фото</v>
      </c>
      <c r="F458" s="13" t="s">
        <v>98</v>
      </c>
      <c r="G458" s="11" t="s">
        <v>628</v>
      </c>
      <c r="H458" s="11" t="s">
        <v>27</v>
      </c>
      <c r="I458" s="14" t="s">
        <v>629</v>
      </c>
      <c r="J458" s="14" t="s">
        <v>29</v>
      </c>
      <c r="K458" s="15" t="s">
        <v>30</v>
      </c>
      <c r="L458" s="56" t="s">
        <v>630</v>
      </c>
      <c r="M458" s="14" t="s">
        <v>631</v>
      </c>
      <c r="N458" s="14" t="s">
        <v>91</v>
      </c>
      <c r="O458" s="14"/>
      <c r="P458" s="15" t="s">
        <v>492</v>
      </c>
      <c r="Q458" s="16">
        <v>42399</v>
      </c>
      <c r="R458" s="17">
        <v>48.85</v>
      </c>
      <c r="S458" s="18">
        <v>24940.9355</v>
      </c>
      <c r="T458" s="19" t="s">
        <v>36</v>
      </c>
      <c r="U458" s="20" t="s">
        <v>37</v>
      </c>
      <c r="V458" s="21" t="s">
        <v>38</v>
      </c>
      <c r="W458" s="22">
        <v>2</v>
      </c>
      <c r="X458" s="23"/>
    </row>
    <row r="459" spans="1:24" s="1" customFormat="1" ht="26.1" customHeight="1" x14ac:dyDescent="0.3">
      <c r="A459" s="24" t="s">
        <v>23</v>
      </c>
      <c r="B459" s="24" t="s">
        <v>683</v>
      </c>
      <c r="C459" s="12" t="s">
        <v>684</v>
      </c>
      <c r="D459" s="54"/>
      <c r="E459" s="39" t="str">
        <f>HYPERLINK("https://www.google.ru/search?q=1372693-410&amp;newwindow=1&amp;tbm=isch","Еще фото")</f>
        <v>Еще фото</v>
      </c>
      <c r="F459" s="13" t="s">
        <v>98</v>
      </c>
      <c r="G459" s="24" t="s">
        <v>628</v>
      </c>
      <c r="H459" s="24" t="s">
        <v>27</v>
      </c>
      <c r="I459" s="24" t="s">
        <v>629</v>
      </c>
      <c r="J459" s="14" t="s">
        <v>29</v>
      </c>
      <c r="K459" s="15" t="s">
        <v>30</v>
      </c>
      <c r="L459" s="57"/>
      <c r="M459" s="14" t="s">
        <v>631</v>
      </c>
      <c r="N459" s="14" t="s">
        <v>91</v>
      </c>
      <c r="O459" s="14"/>
      <c r="P459" s="15" t="s">
        <v>492</v>
      </c>
      <c r="Q459" s="16">
        <v>42399</v>
      </c>
      <c r="R459" s="17">
        <v>48.85</v>
      </c>
      <c r="S459" s="18">
        <v>24940.9355</v>
      </c>
      <c r="T459" s="19" t="s">
        <v>36</v>
      </c>
      <c r="U459" s="20" t="s">
        <v>39</v>
      </c>
      <c r="V459" s="21" t="s">
        <v>40</v>
      </c>
      <c r="W459" s="22">
        <v>3</v>
      </c>
      <c r="X459" s="23"/>
    </row>
    <row r="460" spans="1:24" s="1" customFormat="1" ht="26.1" customHeight="1" x14ac:dyDescent="0.3">
      <c r="A460" s="24" t="s">
        <v>23</v>
      </c>
      <c r="B460" s="24" t="s">
        <v>683</v>
      </c>
      <c r="C460" s="12" t="s">
        <v>684</v>
      </c>
      <c r="D460" s="54"/>
      <c r="E460" s="39" t="str">
        <f>HYPERLINK("https://www.google.ru/search?q=1372693-410&amp;newwindow=1&amp;tbm=isch","Еще фото")</f>
        <v>Еще фото</v>
      </c>
      <c r="F460" s="13" t="s">
        <v>98</v>
      </c>
      <c r="G460" s="24" t="s">
        <v>628</v>
      </c>
      <c r="H460" s="24" t="s">
        <v>27</v>
      </c>
      <c r="I460" s="24" t="s">
        <v>629</v>
      </c>
      <c r="J460" s="14" t="s">
        <v>29</v>
      </c>
      <c r="K460" s="15" t="s">
        <v>30</v>
      </c>
      <c r="L460" s="57"/>
      <c r="M460" s="14" t="s">
        <v>631</v>
      </c>
      <c r="N460" s="14" t="s">
        <v>91</v>
      </c>
      <c r="O460" s="14"/>
      <c r="P460" s="15" t="s">
        <v>492</v>
      </c>
      <c r="Q460" s="16">
        <v>42399</v>
      </c>
      <c r="R460" s="17">
        <v>48.85</v>
      </c>
      <c r="S460" s="18">
        <v>24940.9355</v>
      </c>
      <c r="T460" s="19" t="s">
        <v>36</v>
      </c>
      <c r="U460" s="20" t="s">
        <v>43</v>
      </c>
      <c r="V460" s="21" t="s">
        <v>44</v>
      </c>
      <c r="W460" s="22">
        <v>1</v>
      </c>
      <c r="X460" s="23"/>
    </row>
    <row r="461" spans="1:24" s="1" customFormat="1" ht="26.1" customHeight="1" x14ac:dyDescent="0.3">
      <c r="A461" s="24" t="s">
        <v>23</v>
      </c>
      <c r="B461" s="24" t="s">
        <v>683</v>
      </c>
      <c r="C461" s="12" t="s">
        <v>684</v>
      </c>
      <c r="D461" s="55"/>
      <c r="E461" s="39" t="str">
        <f>HYPERLINK("https://www.google.ru/search?q=1372693-410&amp;newwindow=1&amp;tbm=isch","Еще фото")</f>
        <v>Еще фото</v>
      </c>
      <c r="F461" s="13" t="s">
        <v>98</v>
      </c>
      <c r="G461" s="24" t="s">
        <v>628</v>
      </c>
      <c r="H461" s="24" t="s">
        <v>27</v>
      </c>
      <c r="I461" s="24" t="s">
        <v>629</v>
      </c>
      <c r="J461" s="14" t="s">
        <v>29</v>
      </c>
      <c r="K461" s="15" t="s">
        <v>30</v>
      </c>
      <c r="L461" s="58"/>
      <c r="M461" s="14" t="s">
        <v>631</v>
      </c>
      <c r="N461" s="14" t="s">
        <v>91</v>
      </c>
      <c r="O461" s="14"/>
      <c r="P461" s="15" t="s">
        <v>492</v>
      </c>
      <c r="Q461" s="16">
        <v>42399</v>
      </c>
      <c r="R461" s="17">
        <v>48.85</v>
      </c>
      <c r="S461" s="18">
        <v>24940.9355</v>
      </c>
      <c r="T461" s="19" t="s">
        <v>36</v>
      </c>
      <c r="U461" s="20" t="s">
        <v>104</v>
      </c>
      <c r="V461" s="21" t="s">
        <v>105</v>
      </c>
      <c r="W461" s="22">
        <v>3</v>
      </c>
      <c r="X461" s="23"/>
    </row>
    <row r="462" spans="1:24" s="1" customFormat="1" ht="35.1" customHeight="1" x14ac:dyDescent="0.3">
      <c r="A462" s="11" t="s">
        <v>23</v>
      </c>
      <c r="B462" s="11" t="s">
        <v>685</v>
      </c>
      <c r="C462" s="12" t="s">
        <v>686</v>
      </c>
      <c r="D462" s="53"/>
      <c r="E462" s="39" t="str">
        <f>HYPERLINK("https://www.google.ru/search?q=1378830-001&amp;newwindow=1&amp;tbm=isch","Еще фото")</f>
        <v>Еще фото</v>
      </c>
      <c r="F462" s="13"/>
      <c r="G462" s="11" t="s">
        <v>628</v>
      </c>
      <c r="H462" s="11" t="s">
        <v>27</v>
      </c>
      <c r="I462" s="14" t="s">
        <v>629</v>
      </c>
      <c r="J462" s="14" t="s">
        <v>29</v>
      </c>
      <c r="K462" s="15" t="s">
        <v>30</v>
      </c>
      <c r="L462" s="56" t="s">
        <v>687</v>
      </c>
      <c r="M462" s="14" t="s">
        <v>631</v>
      </c>
      <c r="N462" s="14" t="s">
        <v>33</v>
      </c>
      <c r="O462" s="14"/>
      <c r="P462" s="15" t="s">
        <v>492</v>
      </c>
      <c r="Q462" s="16">
        <v>49999</v>
      </c>
      <c r="R462" s="17">
        <v>48.84</v>
      </c>
      <c r="S462" s="18">
        <v>29414.4355</v>
      </c>
      <c r="T462" s="19" t="s">
        <v>36</v>
      </c>
      <c r="U462" s="20" t="s">
        <v>37</v>
      </c>
      <c r="V462" s="21" t="s">
        <v>38</v>
      </c>
      <c r="W462" s="22">
        <v>3</v>
      </c>
      <c r="X462" s="23"/>
    </row>
    <row r="463" spans="1:24" s="1" customFormat="1" ht="35.1" customHeight="1" x14ac:dyDescent="0.3">
      <c r="A463" s="24" t="s">
        <v>23</v>
      </c>
      <c r="B463" s="24" t="s">
        <v>685</v>
      </c>
      <c r="C463" s="12" t="s">
        <v>686</v>
      </c>
      <c r="D463" s="54"/>
      <c r="E463" s="39" t="str">
        <f>HYPERLINK("https://www.google.ru/search?q=1378830-001&amp;newwindow=1&amp;tbm=isch","Еще фото")</f>
        <v>Еще фото</v>
      </c>
      <c r="F463" s="13"/>
      <c r="G463" s="24" t="s">
        <v>628</v>
      </c>
      <c r="H463" s="24" t="s">
        <v>27</v>
      </c>
      <c r="I463" s="24" t="s">
        <v>629</v>
      </c>
      <c r="J463" s="14" t="s">
        <v>29</v>
      </c>
      <c r="K463" s="15" t="s">
        <v>30</v>
      </c>
      <c r="L463" s="57"/>
      <c r="M463" s="14" t="s">
        <v>631</v>
      </c>
      <c r="N463" s="14" t="s">
        <v>33</v>
      </c>
      <c r="O463" s="14"/>
      <c r="P463" s="15" t="s">
        <v>492</v>
      </c>
      <c r="Q463" s="16">
        <v>49999</v>
      </c>
      <c r="R463" s="17">
        <v>48.84</v>
      </c>
      <c r="S463" s="18">
        <v>29414.4355</v>
      </c>
      <c r="T463" s="19" t="s">
        <v>36</v>
      </c>
      <c r="U463" s="20" t="s">
        <v>41</v>
      </c>
      <c r="V463" s="21" t="s">
        <v>42</v>
      </c>
      <c r="W463" s="22">
        <v>4</v>
      </c>
      <c r="X463" s="23"/>
    </row>
    <row r="464" spans="1:24" s="1" customFormat="1" ht="36.950000000000003" customHeight="1" x14ac:dyDescent="0.3">
      <c r="A464" s="24" t="s">
        <v>23</v>
      </c>
      <c r="B464" s="24" t="s">
        <v>685</v>
      </c>
      <c r="C464" s="12" t="s">
        <v>686</v>
      </c>
      <c r="D464" s="55"/>
      <c r="E464" s="39" t="str">
        <f>HYPERLINK("https://www.google.ru/search?q=1378830-001&amp;newwindow=1&amp;tbm=isch","Еще фото")</f>
        <v>Еще фото</v>
      </c>
      <c r="F464" s="13"/>
      <c r="G464" s="24" t="s">
        <v>628</v>
      </c>
      <c r="H464" s="24" t="s">
        <v>27</v>
      </c>
      <c r="I464" s="24" t="s">
        <v>629</v>
      </c>
      <c r="J464" s="14" t="s">
        <v>29</v>
      </c>
      <c r="K464" s="15" t="s">
        <v>30</v>
      </c>
      <c r="L464" s="58"/>
      <c r="M464" s="14" t="s">
        <v>631</v>
      </c>
      <c r="N464" s="14" t="s">
        <v>33</v>
      </c>
      <c r="O464" s="14"/>
      <c r="P464" s="15" t="s">
        <v>492</v>
      </c>
      <c r="Q464" s="16">
        <v>49999</v>
      </c>
      <c r="R464" s="17">
        <v>48.84</v>
      </c>
      <c r="S464" s="18">
        <v>29414.4355</v>
      </c>
      <c r="T464" s="19" t="s">
        <v>36</v>
      </c>
      <c r="U464" s="20" t="s">
        <v>43</v>
      </c>
      <c r="V464" s="21" t="s">
        <v>44</v>
      </c>
      <c r="W464" s="22">
        <v>3</v>
      </c>
      <c r="X464" s="23"/>
    </row>
    <row r="465" spans="1:24" s="1" customFormat="1" ht="35.1" customHeight="1" x14ac:dyDescent="0.3">
      <c r="A465" s="11" t="s">
        <v>23</v>
      </c>
      <c r="B465" s="11" t="s">
        <v>688</v>
      </c>
      <c r="C465" s="12" t="s">
        <v>689</v>
      </c>
      <c r="D465" s="53"/>
      <c r="E465" s="39" t="str">
        <f>HYPERLINK("https://www.google.ru/search?q=1375456-001&amp;newwindow=1&amp;tbm=isch","Еще фото")</f>
        <v>Еще фото</v>
      </c>
      <c r="F465" s="13"/>
      <c r="G465" s="11" t="s">
        <v>643</v>
      </c>
      <c r="H465" s="11" t="s">
        <v>27</v>
      </c>
      <c r="I465" s="14" t="s">
        <v>629</v>
      </c>
      <c r="J465" s="14" t="s">
        <v>47</v>
      </c>
      <c r="K465" s="15" t="s">
        <v>64</v>
      </c>
      <c r="L465" s="56" t="s">
        <v>630</v>
      </c>
      <c r="M465" s="14" t="s">
        <v>631</v>
      </c>
      <c r="N465" s="14" t="s">
        <v>33</v>
      </c>
      <c r="O465" s="14"/>
      <c r="P465" s="15" t="s">
        <v>492</v>
      </c>
      <c r="Q465" s="16">
        <v>29999</v>
      </c>
      <c r="R465" s="17">
        <v>48.84</v>
      </c>
      <c r="S465" s="18">
        <v>17649.9355</v>
      </c>
      <c r="T465" s="19" t="s">
        <v>36</v>
      </c>
      <c r="U465" s="20" t="s">
        <v>69</v>
      </c>
      <c r="V465" s="21" t="s">
        <v>70</v>
      </c>
      <c r="W465" s="22">
        <v>1</v>
      </c>
      <c r="X465" s="23"/>
    </row>
    <row r="466" spans="1:24" s="1" customFormat="1" ht="35.1" customHeight="1" x14ac:dyDescent="0.3">
      <c r="A466" s="24" t="s">
        <v>23</v>
      </c>
      <c r="B466" s="24" t="s">
        <v>688</v>
      </c>
      <c r="C466" s="12" t="s">
        <v>689</v>
      </c>
      <c r="D466" s="54"/>
      <c r="E466" s="39" t="str">
        <f>HYPERLINK("https://www.google.ru/search?q=1375456-001&amp;newwindow=1&amp;tbm=isch","Еще фото")</f>
        <v>Еще фото</v>
      </c>
      <c r="F466" s="13"/>
      <c r="G466" s="24" t="s">
        <v>643</v>
      </c>
      <c r="H466" s="24" t="s">
        <v>27</v>
      </c>
      <c r="I466" s="24" t="s">
        <v>629</v>
      </c>
      <c r="J466" s="14" t="s">
        <v>47</v>
      </c>
      <c r="K466" s="15" t="s">
        <v>64</v>
      </c>
      <c r="L466" s="57"/>
      <c r="M466" s="14" t="s">
        <v>631</v>
      </c>
      <c r="N466" s="14" t="s">
        <v>33</v>
      </c>
      <c r="O466" s="14"/>
      <c r="P466" s="15" t="s">
        <v>492</v>
      </c>
      <c r="Q466" s="16">
        <v>29999</v>
      </c>
      <c r="R466" s="17">
        <v>48.84</v>
      </c>
      <c r="S466" s="18">
        <v>17649.9355</v>
      </c>
      <c r="T466" s="19" t="s">
        <v>36</v>
      </c>
      <c r="U466" s="20" t="s">
        <v>37</v>
      </c>
      <c r="V466" s="21" t="s">
        <v>86</v>
      </c>
      <c r="W466" s="22">
        <v>3</v>
      </c>
      <c r="X466" s="23"/>
    </row>
    <row r="467" spans="1:24" s="1" customFormat="1" ht="36.950000000000003" customHeight="1" x14ac:dyDescent="0.3">
      <c r="A467" s="24" t="s">
        <v>23</v>
      </c>
      <c r="B467" s="24" t="s">
        <v>688</v>
      </c>
      <c r="C467" s="12" t="s">
        <v>689</v>
      </c>
      <c r="D467" s="55"/>
      <c r="E467" s="39" t="str">
        <f>HYPERLINK("https://www.google.ru/search?q=1375456-001&amp;newwindow=1&amp;tbm=isch","Еще фото")</f>
        <v>Еще фото</v>
      </c>
      <c r="F467" s="13"/>
      <c r="G467" s="24" t="s">
        <v>643</v>
      </c>
      <c r="H467" s="24" t="s">
        <v>27</v>
      </c>
      <c r="I467" s="24" t="s">
        <v>629</v>
      </c>
      <c r="J467" s="14" t="s">
        <v>47</v>
      </c>
      <c r="K467" s="15" t="s">
        <v>64</v>
      </c>
      <c r="L467" s="58"/>
      <c r="M467" s="14" t="s">
        <v>631</v>
      </c>
      <c r="N467" s="14" t="s">
        <v>33</v>
      </c>
      <c r="O467" s="14"/>
      <c r="P467" s="15" t="s">
        <v>492</v>
      </c>
      <c r="Q467" s="16">
        <v>29999</v>
      </c>
      <c r="R467" s="17">
        <v>48.84</v>
      </c>
      <c r="S467" s="18">
        <v>17649.9355</v>
      </c>
      <c r="T467" s="19" t="s">
        <v>36</v>
      </c>
      <c r="U467" s="20" t="s">
        <v>39</v>
      </c>
      <c r="V467" s="21" t="s">
        <v>38</v>
      </c>
      <c r="W467" s="22">
        <v>1</v>
      </c>
      <c r="X467" s="23"/>
    </row>
    <row r="468" spans="1:24" s="1" customFormat="1" ht="35.1" customHeight="1" x14ac:dyDescent="0.3">
      <c r="A468" s="11" t="s">
        <v>23</v>
      </c>
      <c r="B468" s="11" t="s">
        <v>690</v>
      </c>
      <c r="C468" s="12" t="s">
        <v>691</v>
      </c>
      <c r="D468" s="53"/>
      <c r="E468" s="39" t="str">
        <f>HYPERLINK("https://www.google.ru/search?q=1380868-587&amp;newwindow=1&amp;tbm=isch","Еще фото")</f>
        <v>Еще фото</v>
      </c>
      <c r="F468" s="13"/>
      <c r="G468" s="11" t="s">
        <v>634</v>
      </c>
      <c r="H468" s="11" t="s">
        <v>27</v>
      </c>
      <c r="I468" s="14" t="s">
        <v>629</v>
      </c>
      <c r="J468" s="14" t="s">
        <v>29</v>
      </c>
      <c r="K468" s="15" t="s">
        <v>30</v>
      </c>
      <c r="L468" s="56" t="s">
        <v>692</v>
      </c>
      <c r="M468" s="14" t="s">
        <v>32</v>
      </c>
      <c r="N468" s="14" t="s">
        <v>91</v>
      </c>
      <c r="O468" s="14"/>
      <c r="P468" s="15" t="s">
        <v>51</v>
      </c>
      <c r="Q468" s="16">
        <v>18799</v>
      </c>
      <c r="R468" s="17">
        <v>48.84</v>
      </c>
      <c r="S468" s="18">
        <v>11060.4355</v>
      </c>
      <c r="T468" s="19" t="s">
        <v>36</v>
      </c>
      <c r="U468" s="20" t="s">
        <v>37</v>
      </c>
      <c r="V468" s="21" t="s">
        <v>38</v>
      </c>
      <c r="W468" s="22">
        <v>1</v>
      </c>
      <c r="X468" s="23"/>
    </row>
    <row r="469" spans="1:24" s="1" customFormat="1" ht="35.1" customHeight="1" x14ac:dyDescent="0.3">
      <c r="A469" s="24" t="s">
        <v>23</v>
      </c>
      <c r="B469" s="24" t="s">
        <v>690</v>
      </c>
      <c r="C469" s="12" t="s">
        <v>691</v>
      </c>
      <c r="D469" s="54"/>
      <c r="E469" s="39" t="str">
        <f>HYPERLINK("https://www.google.ru/search?q=1380868-587&amp;newwindow=1&amp;tbm=isch","Еще фото")</f>
        <v>Еще фото</v>
      </c>
      <c r="F469" s="13"/>
      <c r="G469" s="24" t="s">
        <v>634</v>
      </c>
      <c r="H469" s="24" t="s">
        <v>27</v>
      </c>
      <c r="I469" s="24" t="s">
        <v>629</v>
      </c>
      <c r="J469" s="14" t="s">
        <v>29</v>
      </c>
      <c r="K469" s="15" t="s">
        <v>30</v>
      </c>
      <c r="L469" s="57"/>
      <c r="M469" s="14" t="s">
        <v>32</v>
      </c>
      <c r="N469" s="14" t="s">
        <v>91</v>
      </c>
      <c r="O469" s="14"/>
      <c r="P469" s="15" t="s">
        <v>51</v>
      </c>
      <c r="Q469" s="16">
        <v>18799</v>
      </c>
      <c r="R469" s="17">
        <v>48.84</v>
      </c>
      <c r="S469" s="18">
        <v>11060.4355</v>
      </c>
      <c r="T469" s="19" t="s">
        <v>36</v>
      </c>
      <c r="U469" s="20" t="s">
        <v>41</v>
      </c>
      <c r="V469" s="21" t="s">
        <v>42</v>
      </c>
      <c r="W469" s="22">
        <v>3</v>
      </c>
      <c r="X469" s="23"/>
    </row>
    <row r="470" spans="1:24" s="1" customFormat="1" ht="36.950000000000003" customHeight="1" x14ac:dyDescent="0.3">
      <c r="A470" s="24" t="s">
        <v>23</v>
      </c>
      <c r="B470" s="24" t="s">
        <v>690</v>
      </c>
      <c r="C470" s="12" t="s">
        <v>691</v>
      </c>
      <c r="D470" s="55"/>
      <c r="E470" s="39" t="str">
        <f>HYPERLINK("https://www.google.ru/search?q=1380868-587&amp;newwindow=1&amp;tbm=isch","Еще фото")</f>
        <v>Еще фото</v>
      </c>
      <c r="F470" s="13"/>
      <c r="G470" s="24" t="s">
        <v>634</v>
      </c>
      <c r="H470" s="24" t="s">
        <v>27</v>
      </c>
      <c r="I470" s="24" t="s">
        <v>629</v>
      </c>
      <c r="J470" s="14" t="s">
        <v>29</v>
      </c>
      <c r="K470" s="15" t="s">
        <v>30</v>
      </c>
      <c r="L470" s="58"/>
      <c r="M470" s="14" t="s">
        <v>32</v>
      </c>
      <c r="N470" s="14" t="s">
        <v>91</v>
      </c>
      <c r="O470" s="14"/>
      <c r="P470" s="15" t="s">
        <v>51</v>
      </c>
      <c r="Q470" s="16">
        <v>18799</v>
      </c>
      <c r="R470" s="17">
        <v>48.84</v>
      </c>
      <c r="S470" s="18">
        <v>11060.4355</v>
      </c>
      <c r="T470" s="19" t="s">
        <v>36</v>
      </c>
      <c r="U470" s="20" t="s">
        <v>43</v>
      </c>
      <c r="V470" s="21" t="s">
        <v>44</v>
      </c>
      <c r="W470" s="22">
        <v>1</v>
      </c>
      <c r="X470" s="23"/>
    </row>
    <row r="471" spans="1:24" s="1" customFormat="1" ht="108" customHeight="1" x14ac:dyDescent="0.3">
      <c r="A471" s="11" t="s">
        <v>23</v>
      </c>
      <c r="B471" s="11" t="s">
        <v>693</v>
      </c>
      <c r="C471" s="12" t="s">
        <v>694</v>
      </c>
      <c r="D471" s="25"/>
      <c r="E471" s="39" t="str">
        <f>HYPERLINK("https://www.google.ru/search?q=1372650-431&amp;newwindow=1&amp;tbm=isch","Еще фото")</f>
        <v>Еще фото</v>
      </c>
      <c r="F471" s="13"/>
      <c r="G471" s="11" t="s">
        <v>643</v>
      </c>
      <c r="H471" s="11" t="s">
        <v>27</v>
      </c>
      <c r="I471" s="14" t="s">
        <v>629</v>
      </c>
      <c r="J471" s="14" t="s">
        <v>29</v>
      </c>
      <c r="K471" s="15" t="s">
        <v>30</v>
      </c>
      <c r="L471" s="14" t="s">
        <v>695</v>
      </c>
      <c r="M471" s="14"/>
      <c r="N471" s="14" t="s">
        <v>50</v>
      </c>
      <c r="O471" s="14"/>
      <c r="P471" s="15" t="s">
        <v>492</v>
      </c>
      <c r="Q471" s="16">
        <v>20399</v>
      </c>
      <c r="R471" s="17">
        <v>48.83</v>
      </c>
      <c r="S471" s="18">
        <v>12003.4355</v>
      </c>
      <c r="T471" s="19" t="s">
        <v>36</v>
      </c>
      <c r="U471" s="20" t="s">
        <v>37</v>
      </c>
      <c r="V471" s="21" t="s">
        <v>38</v>
      </c>
      <c r="W471" s="22">
        <v>3</v>
      </c>
      <c r="X471" s="23"/>
    </row>
    <row r="472" spans="1:24" s="1" customFormat="1" ht="21" customHeight="1" x14ac:dyDescent="0.3">
      <c r="A472" s="11" t="s">
        <v>23</v>
      </c>
      <c r="B472" s="11" t="s">
        <v>696</v>
      </c>
      <c r="C472" s="26" t="s">
        <v>697</v>
      </c>
      <c r="D472" s="53"/>
      <c r="E472" s="39" t="str">
        <f>HYPERLINK("https://www.google.ru/search?q=1378502-001&amp;newwindow=1&amp;tbm=isch","Еще фото")</f>
        <v>Еще фото</v>
      </c>
      <c r="F472" s="13" t="s">
        <v>98</v>
      </c>
      <c r="G472" s="11" t="s">
        <v>643</v>
      </c>
      <c r="H472" s="11" t="s">
        <v>27</v>
      </c>
      <c r="I472" s="14" t="s">
        <v>629</v>
      </c>
      <c r="J472" s="14" t="s">
        <v>29</v>
      </c>
      <c r="K472" s="15" t="s">
        <v>64</v>
      </c>
      <c r="L472" s="56" t="s">
        <v>698</v>
      </c>
      <c r="M472" s="14"/>
      <c r="N472" s="14" t="s">
        <v>33</v>
      </c>
      <c r="O472" s="14"/>
      <c r="P472" s="15" t="s">
        <v>51</v>
      </c>
      <c r="Q472" s="16">
        <v>9999</v>
      </c>
      <c r="R472" s="17">
        <v>48.82</v>
      </c>
      <c r="S472" s="18">
        <v>5885.4355000000005</v>
      </c>
      <c r="T472" s="19" t="s">
        <v>36</v>
      </c>
      <c r="U472" s="20" t="s">
        <v>69</v>
      </c>
      <c r="V472" s="21" t="s">
        <v>70</v>
      </c>
      <c r="W472" s="22">
        <v>23</v>
      </c>
      <c r="X472" s="23"/>
    </row>
    <row r="473" spans="1:24" s="1" customFormat="1" ht="21" customHeight="1" x14ac:dyDescent="0.3">
      <c r="A473" s="24" t="s">
        <v>23</v>
      </c>
      <c r="B473" s="24" t="s">
        <v>696</v>
      </c>
      <c r="C473" s="27" t="s">
        <v>697</v>
      </c>
      <c r="D473" s="54"/>
      <c r="E473" s="39" t="str">
        <f>HYPERLINK("https://www.google.ru/search?q=1378502-001&amp;newwindow=1&amp;tbm=isch","Еще фото")</f>
        <v>Еще фото</v>
      </c>
      <c r="F473" s="13" t="s">
        <v>98</v>
      </c>
      <c r="G473" s="24" t="s">
        <v>643</v>
      </c>
      <c r="H473" s="24" t="s">
        <v>27</v>
      </c>
      <c r="I473" s="24" t="s">
        <v>629</v>
      </c>
      <c r="J473" s="14" t="s">
        <v>29</v>
      </c>
      <c r="K473" s="15" t="s">
        <v>64</v>
      </c>
      <c r="L473" s="57"/>
      <c r="M473" s="14"/>
      <c r="N473" s="14" t="s">
        <v>33</v>
      </c>
      <c r="O473" s="14"/>
      <c r="P473" s="15" t="s">
        <v>51</v>
      </c>
      <c r="Q473" s="16">
        <v>9999</v>
      </c>
      <c r="R473" s="17">
        <v>48.82</v>
      </c>
      <c r="S473" s="18">
        <v>5885.4355000000005</v>
      </c>
      <c r="T473" s="19" t="s">
        <v>36</v>
      </c>
      <c r="U473" s="20" t="s">
        <v>37</v>
      </c>
      <c r="V473" s="21" t="s">
        <v>86</v>
      </c>
      <c r="W473" s="22">
        <v>22</v>
      </c>
      <c r="X473" s="23"/>
    </row>
    <row r="474" spans="1:24" s="1" customFormat="1" ht="21" customHeight="1" x14ac:dyDescent="0.3">
      <c r="A474" s="24" t="s">
        <v>23</v>
      </c>
      <c r="B474" s="24" t="s">
        <v>696</v>
      </c>
      <c r="C474" s="27" t="s">
        <v>697</v>
      </c>
      <c r="D474" s="54"/>
      <c r="E474" s="39" t="str">
        <f>HYPERLINK("https://www.google.ru/search?q=1378502-001&amp;newwindow=1&amp;tbm=isch","Еще фото")</f>
        <v>Еще фото</v>
      </c>
      <c r="F474" s="13" t="s">
        <v>98</v>
      </c>
      <c r="G474" s="24" t="s">
        <v>643</v>
      </c>
      <c r="H474" s="24" t="s">
        <v>27</v>
      </c>
      <c r="I474" s="24" t="s">
        <v>629</v>
      </c>
      <c r="J474" s="14" t="s">
        <v>29</v>
      </c>
      <c r="K474" s="15" t="s">
        <v>64</v>
      </c>
      <c r="L474" s="57"/>
      <c r="M474" s="14"/>
      <c r="N474" s="14" t="s">
        <v>33</v>
      </c>
      <c r="O474" s="14"/>
      <c r="P474" s="15" t="s">
        <v>51</v>
      </c>
      <c r="Q474" s="16">
        <v>9999</v>
      </c>
      <c r="R474" s="17">
        <v>48.82</v>
      </c>
      <c r="S474" s="18">
        <v>5885.4355000000005</v>
      </c>
      <c r="T474" s="19" t="s">
        <v>36</v>
      </c>
      <c r="U474" s="20" t="s">
        <v>39</v>
      </c>
      <c r="V474" s="21" t="s">
        <v>38</v>
      </c>
      <c r="W474" s="22">
        <v>23</v>
      </c>
      <c r="X474" s="23"/>
    </row>
    <row r="475" spans="1:24" s="1" customFormat="1" ht="21" customHeight="1" x14ac:dyDescent="0.3">
      <c r="A475" s="24" t="s">
        <v>23</v>
      </c>
      <c r="B475" s="24" t="s">
        <v>696</v>
      </c>
      <c r="C475" s="27" t="s">
        <v>697</v>
      </c>
      <c r="D475" s="54"/>
      <c r="E475" s="39" t="str">
        <f>HYPERLINK("https://www.google.ru/search?q=1378502-001&amp;newwindow=1&amp;tbm=isch","Еще фото")</f>
        <v>Еще фото</v>
      </c>
      <c r="F475" s="13" t="s">
        <v>98</v>
      </c>
      <c r="G475" s="24" t="s">
        <v>643</v>
      </c>
      <c r="H475" s="24" t="s">
        <v>27</v>
      </c>
      <c r="I475" s="24" t="s">
        <v>629</v>
      </c>
      <c r="J475" s="14" t="s">
        <v>29</v>
      </c>
      <c r="K475" s="15" t="s">
        <v>64</v>
      </c>
      <c r="L475" s="57"/>
      <c r="M475" s="14"/>
      <c r="N475" s="14" t="s">
        <v>33</v>
      </c>
      <c r="O475" s="14"/>
      <c r="P475" s="15" t="s">
        <v>51</v>
      </c>
      <c r="Q475" s="16">
        <v>9999</v>
      </c>
      <c r="R475" s="17">
        <v>48.82</v>
      </c>
      <c r="S475" s="18">
        <v>5885.4355000000005</v>
      </c>
      <c r="T475" s="19" t="s">
        <v>36</v>
      </c>
      <c r="U475" s="20" t="s">
        <v>41</v>
      </c>
      <c r="V475" s="21" t="s">
        <v>40</v>
      </c>
      <c r="W475" s="22">
        <v>17</v>
      </c>
      <c r="X475" s="23"/>
    </row>
    <row r="476" spans="1:24" s="1" customFormat="1" ht="32.1" customHeight="1" x14ac:dyDescent="0.3">
      <c r="A476" s="24" t="s">
        <v>23</v>
      </c>
      <c r="B476" s="24" t="s">
        <v>696</v>
      </c>
      <c r="C476" s="27" t="s">
        <v>697</v>
      </c>
      <c r="D476" s="55"/>
      <c r="E476" s="39" t="str">
        <f>HYPERLINK("https://www.google.ru/search?q=1378502-001&amp;newwindow=1&amp;tbm=isch","Еще фото")</f>
        <v>Еще фото</v>
      </c>
      <c r="F476" s="13" t="s">
        <v>98</v>
      </c>
      <c r="G476" s="24" t="s">
        <v>643</v>
      </c>
      <c r="H476" s="24" t="s">
        <v>27</v>
      </c>
      <c r="I476" s="24" t="s">
        <v>629</v>
      </c>
      <c r="J476" s="14" t="s">
        <v>29</v>
      </c>
      <c r="K476" s="15" t="s">
        <v>64</v>
      </c>
      <c r="L476" s="58"/>
      <c r="M476" s="14"/>
      <c r="N476" s="14" t="s">
        <v>33</v>
      </c>
      <c r="O476" s="14"/>
      <c r="P476" s="15" t="s">
        <v>51</v>
      </c>
      <c r="Q476" s="16">
        <v>9999</v>
      </c>
      <c r="R476" s="17">
        <v>48.82</v>
      </c>
      <c r="S476" s="18">
        <v>5885.4355000000005</v>
      </c>
      <c r="T476" s="19" t="s">
        <v>36</v>
      </c>
      <c r="U476" s="20" t="s">
        <v>43</v>
      </c>
      <c r="V476" s="21" t="s">
        <v>42</v>
      </c>
      <c r="W476" s="22">
        <v>7</v>
      </c>
      <c r="X476" s="23"/>
    </row>
    <row r="477" spans="1:24" s="1" customFormat="1" ht="108" customHeight="1" x14ac:dyDescent="0.3">
      <c r="A477" s="11" t="s">
        <v>23</v>
      </c>
      <c r="B477" s="11" t="s">
        <v>699</v>
      </c>
      <c r="C477" s="12" t="s">
        <v>700</v>
      </c>
      <c r="D477" s="25"/>
      <c r="E477" s="39" t="str">
        <f>HYPERLINK("https://www.google.ru/search?q=1380871-012&amp;newwindow=1&amp;tbm=isch","Еще фото")</f>
        <v>Еще фото</v>
      </c>
      <c r="F477" s="13"/>
      <c r="G477" s="11" t="s">
        <v>634</v>
      </c>
      <c r="H477" s="11" t="s">
        <v>27</v>
      </c>
      <c r="I477" s="14" t="s">
        <v>629</v>
      </c>
      <c r="J477" s="14" t="s">
        <v>29</v>
      </c>
      <c r="K477" s="15" t="s">
        <v>30</v>
      </c>
      <c r="L477" s="14" t="s">
        <v>701</v>
      </c>
      <c r="M477" s="14" t="s">
        <v>32</v>
      </c>
      <c r="N477" s="14" t="s">
        <v>166</v>
      </c>
      <c r="O477" s="14"/>
      <c r="P477" s="15" t="s">
        <v>51</v>
      </c>
      <c r="Q477" s="16">
        <v>21999</v>
      </c>
      <c r="R477" s="17">
        <v>45.45</v>
      </c>
      <c r="S477" s="18">
        <v>13799.988499999999</v>
      </c>
      <c r="T477" s="19" t="s">
        <v>36</v>
      </c>
      <c r="U477" s="20" t="s">
        <v>381</v>
      </c>
      <c r="V477" s="21" t="s">
        <v>382</v>
      </c>
      <c r="W477" s="22">
        <v>1</v>
      </c>
      <c r="X477" s="23"/>
    </row>
    <row r="478" spans="1:24" s="1" customFormat="1" ht="108" customHeight="1" x14ac:dyDescent="0.3">
      <c r="A478" s="11" t="s">
        <v>23</v>
      </c>
      <c r="B478" s="11" t="s">
        <v>702</v>
      </c>
      <c r="C478" s="12" t="s">
        <v>703</v>
      </c>
      <c r="D478" s="25"/>
      <c r="E478" s="39" t="str">
        <f>HYPERLINK("https://www.google.ru/search?q=1372651-410&amp;newwindow=1&amp;tbm=isch","Еще фото")</f>
        <v>Еще фото</v>
      </c>
      <c r="F478" s="13"/>
      <c r="G478" s="11" t="s">
        <v>628</v>
      </c>
      <c r="H478" s="11" t="s">
        <v>27</v>
      </c>
      <c r="I478" s="14" t="s">
        <v>629</v>
      </c>
      <c r="J478" s="14" t="s">
        <v>29</v>
      </c>
      <c r="K478" s="15" t="s">
        <v>30</v>
      </c>
      <c r="L478" s="14" t="s">
        <v>704</v>
      </c>
      <c r="M478" s="14"/>
      <c r="N478" s="14" t="s">
        <v>705</v>
      </c>
      <c r="O478" s="14"/>
      <c r="P478" s="15" t="s">
        <v>492</v>
      </c>
      <c r="Q478" s="16">
        <v>24499</v>
      </c>
      <c r="R478" s="17">
        <v>45.3</v>
      </c>
      <c r="S478" s="18">
        <v>15409.988499999998</v>
      </c>
      <c r="T478" s="19" t="s">
        <v>36</v>
      </c>
      <c r="U478" s="20" t="s">
        <v>37</v>
      </c>
      <c r="V478" s="21" t="s">
        <v>38</v>
      </c>
      <c r="W478" s="22">
        <v>1</v>
      </c>
      <c r="X478" s="23"/>
    </row>
    <row r="479" spans="1:24" s="1" customFormat="1" ht="108" customHeight="1" x14ac:dyDescent="0.3">
      <c r="A479" s="11" t="s">
        <v>23</v>
      </c>
      <c r="B479" s="11" t="s">
        <v>706</v>
      </c>
      <c r="C479" s="12" t="s">
        <v>707</v>
      </c>
      <c r="D479" s="25"/>
      <c r="E479" s="39" t="str">
        <f>HYPERLINK("https://www.google.ru/search?q=1375442-100&amp;newwindow=1&amp;tbm=isch","Еще фото")</f>
        <v>Еще фото</v>
      </c>
      <c r="F479" s="13" t="s">
        <v>98</v>
      </c>
      <c r="G479" s="11" t="s">
        <v>628</v>
      </c>
      <c r="H479" s="11" t="s">
        <v>27</v>
      </c>
      <c r="I479" s="14" t="s">
        <v>629</v>
      </c>
      <c r="J479" s="14" t="s">
        <v>47</v>
      </c>
      <c r="K479" s="15" t="s">
        <v>64</v>
      </c>
      <c r="L479" s="14" t="s">
        <v>630</v>
      </c>
      <c r="M479" s="14" t="s">
        <v>631</v>
      </c>
      <c r="N479" s="14" t="s">
        <v>74</v>
      </c>
      <c r="O479" s="14"/>
      <c r="P479" s="15" t="s">
        <v>492</v>
      </c>
      <c r="Q479" s="16">
        <v>41999</v>
      </c>
      <c r="R479" s="17">
        <v>45.24</v>
      </c>
      <c r="S479" s="18">
        <v>26449.988499999999</v>
      </c>
      <c r="T479" s="19" t="s">
        <v>36</v>
      </c>
      <c r="U479" s="20" t="s">
        <v>41</v>
      </c>
      <c r="V479" s="21" t="s">
        <v>40</v>
      </c>
      <c r="W479" s="22">
        <v>1</v>
      </c>
      <c r="X479" s="23"/>
    </row>
    <row r="480" spans="1:24" s="1" customFormat="1" ht="108" customHeight="1" x14ac:dyDescent="0.3">
      <c r="A480" s="11" t="s">
        <v>23</v>
      </c>
      <c r="B480" s="11" t="s">
        <v>708</v>
      </c>
      <c r="C480" s="12" t="s">
        <v>709</v>
      </c>
      <c r="D480" s="25"/>
      <c r="E480" s="39" t="str">
        <f>HYPERLINK("https://www.google.ru/search?q=1316034-601&amp;newwindow=1&amp;tbm=isch","Еще фото")</f>
        <v>Еще фото</v>
      </c>
      <c r="F480" s="13"/>
      <c r="G480" s="11" t="s">
        <v>634</v>
      </c>
      <c r="H480" s="11" t="s">
        <v>27</v>
      </c>
      <c r="I480" s="14" t="s">
        <v>629</v>
      </c>
      <c r="J480" s="14" t="s">
        <v>47</v>
      </c>
      <c r="K480" s="15" t="s">
        <v>64</v>
      </c>
      <c r="L480" s="14" t="s">
        <v>710</v>
      </c>
      <c r="M480" s="14" t="s">
        <v>32</v>
      </c>
      <c r="N480" s="14" t="s">
        <v>670</v>
      </c>
      <c r="O480" s="14"/>
      <c r="P480" s="15" t="s">
        <v>492</v>
      </c>
      <c r="Q480" s="16">
        <v>17890</v>
      </c>
      <c r="R480" s="17">
        <v>45.22</v>
      </c>
      <c r="S480" s="18">
        <v>11269.988499999999</v>
      </c>
      <c r="T480" s="19" t="s">
        <v>36</v>
      </c>
      <c r="U480" s="20" t="s">
        <v>69</v>
      </c>
      <c r="V480" s="21" t="s">
        <v>70</v>
      </c>
      <c r="W480" s="22">
        <v>1</v>
      </c>
      <c r="X480" s="23"/>
    </row>
    <row r="481" spans="1:24" s="1" customFormat="1" ht="108" customHeight="1" x14ac:dyDescent="0.3">
      <c r="A481" s="11" t="s">
        <v>23</v>
      </c>
      <c r="B481" s="11" t="s">
        <v>702</v>
      </c>
      <c r="C481" s="12" t="s">
        <v>711</v>
      </c>
      <c r="D481" s="25"/>
      <c r="E481" s="39" t="str">
        <f>HYPERLINK("https://www.google.ru/search?q=1372651-012&amp;newwindow=1&amp;tbm=isch","Еще фото")</f>
        <v>Еще фото</v>
      </c>
      <c r="F481" s="13"/>
      <c r="G481" s="11" t="s">
        <v>628</v>
      </c>
      <c r="H481" s="11" t="s">
        <v>27</v>
      </c>
      <c r="I481" s="14" t="s">
        <v>629</v>
      </c>
      <c r="J481" s="14" t="s">
        <v>29</v>
      </c>
      <c r="K481" s="15" t="s">
        <v>30</v>
      </c>
      <c r="L481" s="14" t="s">
        <v>704</v>
      </c>
      <c r="M481" s="14"/>
      <c r="N481" s="14" t="s">
        <v>166</v>
      </c>
      <c r="O481" s="14"/>
      <c r="P481" s="15" t="s">
        <v>492</v>
      </c>
      <c r="Q481" s="16">
        <v>26999</v>
      </c>
      <c r="R481" s="17">
        <v>45.18</v>
      </c>
      <c r="S481" s="18">
        <v>17019.988499999999</v>
      </c>
      <c r="T481" s="19" t="s">
        <v>36</v>
      </c>
      <c r="U481" s="20" t="s">
        <v>37</v>
      </c>
      <c r="V481" s="21" t="s">
        <v>38</v>
      </c>
      <c r="W481" s="22">
        <v>1</v>
      </c>
      <c r="X481" s="23"/>
    </row>
    <row r="482" spans="1:24" s="1" customFormat="1" ht="51.95" customHeight="1" x14ac:dyDescent="0.3">
      <c r="A482" s="11" t="s">
        <v>23</v>
      </c>
      <c r="B482" s="11" t="s">
        <v>712</v>
      </c>
      <c r="C482" s="12" t="s">
        <v>713</v>
      </c>
      <c r="D482" s="59"/>
      <c r="E482" s="39" t="str">
        <f>HYPERLINK("https://www.google.ru/search?q=1364910-001&amp;newwindow=1&amp;tbm=isch","Еще фото")</f>
        <v>Еще фото</v>
      </c>
      <c r="F482" s="13"/>
      <c r="G482" s="11" t="s">
        <v>657</v>
      </c>
      <c r="H482" s="11" t="s">
        <v>27</v>
      </c>
      <c r="I482" s="14" t="s">
        <v>629</v>
      </c>
      <c r="J482" s="14" t="s">
        <v>47</v>
      </c>
      <c r="K482" s="15" t="s">
        <v>64</v>
      </c>
      <c r="L482" s="56" t="s">
        <v>714</v>
      </c>
      <c r="M482" s="14" t="s">
        <v>32</v>
      </c>
      <c r="N482" s="14" t="s">
        <v>33</v>
      </c>
      <c r="O482" s="14"/>
      <c r="P482" s="15" t="s">
        <v>51</v>
      </c>
      <c r="Q482" s="16">
        <v>26999</v>
      </c>
      <c r="R482" s="17">
        <v>40</v>
      </c>
      <c r="S482" s="18">
        <v>18629.309999999998</v>
      </c>
      <c r="T482" s="19" t="s">
        <v>36</v>
      </c>
      <c r="U482" s="20" t="s">
        <v>69</v>
      </c>
      <c r="V482" s="21" t="s">
        <v>70</v>
      </c>
      <c r="W482" s="22">
        <v>5</v>
      </c>
      <c r="X482" s="23"/>
    </row>
    <row r="483" spans="1:24" s="1" customFormat="1" ht="60.95" customHeight="1" x14ac:dyDescent="0.3">
      <c r="A483" s="24" t="s">
        <v>23</v>
      </c>
      <c r="B483" s="24" t="s">
        <v>712</v>
      </c>
      <c r="C483" s="12" t="s">
        <v>713</v>
      </c>
      <c r="D483" s="60"/>
      <c r="E483" s="39" t="str">
        <f>HYPERLINK("https://www.google.ru/search?q=1364910-001&amp;newwindow=1&amp;tbm=isch","Еще фото")</f>
        <v>Еще фото</v>
      </c>
      <c r="F483" s="13"/>
      <c r="G483" s="24" t="s">
        <v>657</v>
      </c>
      <c r="H483" s="24" t="s">
        <v>27</v>
      </c>
      <c r="I483" s="24" t="s">
        <v>629</v>
      </c>
      <c r="J483" s="14" t="s">
        <v>47</v>
      </c>
      <c r="K483" s="15" t="s">
        <v>64</v>
      </c>
      <c r="L483" s="58"/>
      <c r="M483" s="14" t="s">
        <v>32</v>
      </c>
      <c r="N483" s="14" t="s">
        <v>33</v>
      </c>
      <c r="O483" s="14"/>
      <c r="P483" s="15" t="s">
        <v>51</v>
      </c>
      <c r="Q483" s="16">
        <v>26999</v>
      </c>
      <c r="R483" s="17">
        <v>40</v>
      </c>
      <c r="S483" s="18">
        <v>18629.309999999998</v>
      </c>
      <c r="T483" s="19" t="s">
        <v>36</v>
      </c>
      <c r="U483" s="20" t="s">
        <v>37</v>
      </c>
      <c r="V483" s="21" t="s">
        <v>86</v>
      </c>
      <c r="W483" s="22">
        <v>4</v>
      </c>
      <c r="X483" s="23"/>
    </row>
    <row r="484" spans="1:24" s="1" customFormat="1" ht="35.1" customHeight="1" x14ac:dyDescent="0.3">
      <c r="A484" s="11" t="s">
        <v>23</v>
      </c>
      <c r="B484" s="11" t="s">
        <v>715</v>
      </c>
      <c r="C484" s="12" t="s">
        <v>716</v>
      </c>
      <c r="D484" s="53"/>
      <c r="E484" s="39" t="str">
        <f>HYPERLINK("https://www.google.ru/search?q=1378496-011&amp;newwindow=1&amp;tbm=isch","Еще фото")</f>
        <v>Еще фото</v>
      </c>
      <c r="F484" s="13"/>
      <c r="G484" s="11" t="s">
        <v>634</v>
      </c>
      <c r="H484" s="11" t="s">
        <v>27</v>
      </c>
      <c r="I484" s="14" t="s">
        <v>629</v>
      </c>
      <c r="J484" s="14" t="s">
        <v>29</v>
      </c>
      <c r="K484" s="15" t="s">
        <v>30</v>
      </c>
      <c r="L484" s="56" t="s">
        <v>717</v>
      </c>
      <c r="M484" s="14" t="s">
        <v>32</v>
      </c>
      <c r="N484" s="14" t="s">
        <v>718</v>
      </c>
      <c r="O484" s="14"/>
      <c r="P484" s="15" t="s">
        <v>719</v>
      </c>
      <c r="Q484" s="16">
        <v>18999</v>
      </c>
      <c r="R484" s="17">
        <v>40</v>
      </c>
      <c r="S484" s="18">
        <v>13109.309999999998</v>
      </c>
      <c r="T484" s="19" t="s">
        <v>36</v>
      </c>
      <c r="U484" s="20" t="s">
        <v>37</v>
      </c>
      <c r="V484" s="21" t="s">
        <v>38</v>
      </c>
      <c r="W484" s="22">
        <v>5</v>
      </c>
      <c r="X484" s="23"/>
    </row>
    <row r="485" spans="1:24" s="1" customFormat="1" ht="35.1" customHeight="1" x14ac:dyDescent="0.3">
      <c r="A485" s="24" t="s">
        <v>23</v>
      </c>
      <c r="B485" s="24" t="s">
        <v>715</v>
      </c>
      <c r="C485" s="12" t="s">
        <v>716</v>
      </c>
      <c r="D485" s="54"/>
      <c r="E485" s="39" t="str">
        <f>HYPERLINK("https://www.google.ru/search?q=1378496-011&amp;newwindow=1&amp;tbm=isch","Еще фото")</f>
        <v>Еще фото</v>
      </c>
      <c r="F485" s="13"/>
      <c r="G485" s="24" t="s">
        <v>634</v>
      </c>
      <c r="H485" s="24" t="s">
        <v>27</v>
      </c>
      <c r="I485" s="24" t="s">
        <v>629</v>
      </c>
      <c r="J485" s="14" t="s">
        <v>29</v>
      </c>
      <c r="K485" s="15" t="s">
        <v>30</v>
      </c>
      <c r="L485" s="57"/>
      <c r="M485" s="14" t="s">
        <v>32</v>
      </c>
      <c r="N485" s="14" t="s">
        <v>718</v>
      </c>
      <c r="O485" s="14"/>
      <c r="P485" s="15" t="s">
        <v>719</v>
      </c>
      <c r="Q485" s="16">
        <v>18999</v>
      </c>
      <c r="R485" s="17">
        <v>40</v>
      </c>
      <c r="S485" s="18">
        <v>13109.309999999998</v>
      </c>
      <c r="T485" s="19" t="s">
        <v>36</v>
      </c>
      <c r="U485" s="20" t="s">
        <v>39</v>
      </c>
      <c r="V485" s="21" t="s">
        <v>40</v>
      </c>
      <c r="W485" s="22">
        <v>1</v>
      </c>
      <c r="X485" s="23"/>
    </row>
    <row r="486" spans="1:24" s="1" customFormat="1" ht="36.950000000000003" customHeight="1" x14ac:dyDescent="0.3">
      <c r="A486" s="24" t="s">
        <v>23</v>
      </c>
      <c r="B486" s="24" t="s">
        <v>715</v>
      </c>
      <c r="C486" s="12" t="s">
        <v>716</v>
      </c>
      <c r="D486" s="55"/>
      <c r="E486" s="39" t="str">
        <f>HYPERLINK("https://www.google.ru/search?q=1378496-011&amp;newwindow=1&amp;tbm=isch","Еще фото")</f>
        <v>Еще фото</v>
      </c>
      <c r="F486" s="13"/>
      <c r="G486" s="24" t="s">
        <v>634</v>
      </c>
      <c r="H486" s="24" t="s">
        <v>27</v>
      </c>
      <c r="I486" s="24" t="s">
        <v>629</v>
      </c>
      <c r="J486" s="14" t="s">
        <v>29</v>
      </c>
      <c r="K486" s="15" t="s">
        <v>30</v>
      </c>
      <c r="L486" s="58"/>
      <c r="M486" s="14" t="s">
        <v>32</v>
      </c>
      <c r="N486" s="14" t="s">
        <v>718</v>
      </c>
      <c r="O486" s="14"/>
      <c r="P486" s="15" t="s">
        <v>719</v>
      </c>
      <c r="Q486" s="16">
        <v>18999</v>
      </c>
      <c r="R486" s="17">
        <v>40</v>
      </c>
      <c r="S486" s="18">
        <v>13109.309999999998</v>
      </c>
      <c r="T486" s="19" t="s">
        <v>36</v>
      </c>
      <c r="U486" s="20" t="s">
        <v>43</v>
      </c>
      <c r="V486" s="21" t="s">
        <v>44</v>
      </c>
      <c r="W486" s="22">
        <v>1</v>
      </c>
      <c r="X486" s="23"/>
    </row>
    <row r="487" spans="1:24" s="1" customFormat="1" ht="108" customHeight="1" x14ac:dyDescent="0.3">
      <c r="A487" s="11" t="s">
        <v>23</v>
      </c>
      <c r="B487" s="11" t="s">
        <v>720</v>
      </c>
      <c r="C487" s="12" t="s">
        <v>721</v>
      </c>
      <c r="D487" s="25"/>
      <c r="E487" s="39" t="str">
        <f>HYPERLINK("https://www.google.ru/search?q=1378499-001&amp;newwindow=1&amp;tbm=isch","Еще фото")</f>
        <v>Еще фото</v>
      </c>
      <c r="F487" s="13"/>
      <c r="G487" s="11" t="s">
        <v>643</v>
      </c>
      <c r="H487" s="11" t="s">
        <v>27</v>
      </c>
      <c r="I487" s="14" t="s">
        <v>629</v>
      </c>
      <c r="J487" s="14" t="s">
        <v>29</v>
      </c>
      <c r="K487" s="15" t="s">
        <v>30</v>
      </c>
      <c r="L487" s="14" t="s">
        <v>722</v>
      </c>
      <c r="M487" s="14" t="s">
        <v>32</v>
      </c>
      <c r="N487" s="14" t="s">
        <v>33</v>
      </c>
      <c r="O487" s="14"/>
      <c r="P487" s="15" t="s">
        <v>51</v>
      </c>
      <c r="Q487" s="16">
        <v>17599</v>
      </c>
      <c r="R487" s="17">
        <v>40</v>
      </c>
      <c r="S487" s="18">
        <v>12143.31</v>
      </c>
      <c r="T487" s="19" t="s">
        <v>36</v>
      </c>
      <c r="U487" s="20" t="s">
        <v>41</v>
      </c>
      <c r="V487" s="21" t="s">
        <v>42</v>
      </c>
      <c r="W487" s="22">
        <v>1</v>
      </c>
      <c r="X487" s="23"/>
    </row>
    <row r="488" spans="1:24" s="1" customFormat="1" ht="21" customHeight="1" x14ac:dyDescent="0.3">
      <c r="A488" s="11" t="s">
        <v>23</v>
      </c>
      <c r="B488" s="11" t="s">
        <v>723</v>
      </c>
      <c r="C488" s="26" t="s">
        <v>724</v>
      </c>
      <c r="D488" s="53"/>
      <c r="E488" s="39" t="str">
        <f>HYPERLINK("https://www.google.ru/search?q=1378840-044&amp;newwindow=1&amp;tbm=isch","Еще фото")</f>
        <v>Еще фото</v>
      </c>
      <c r="F488" s="13" t="s">
        <v>98</v>
      </c>
      <c r="G488" s="11" t="s">
        <v>628</v>
      </c>
      <c r="H488" s="11" t="s">
        <v>27</v>
      </c>
      <c r="I488" s="14" t="s">
        <v>629</v>
      </c>
      <c r="J488" s="14" t="s">
        <v>29</v>
      </c>
      <c r="K488" s="15" t="s">
        <v>30</v>
      </c>
      <c r="L488" s="56" t="s">
        <v>725</v>
      </c>
      <c r="M488" s="14" t="s">
        <v>631</v>
      </c>
      <c r="N488" s="14" t="s">
        <v>726</v>
      </c>
      <c r="O488" s="14"/>
      <c r="P488" s="15" t="s">
        <v>51</v>
      </c>
      <c r="Q488" s="16">
        <v>42999</v>
      </c>
      <c r="R488" s="17">
        <v>40</v>
      </c>
      <c r="S488" s="18">
        <v>29669.309999999998</v>
      </c>
      <c r="T488" s="19" t="s">
        <v>36</v>
      </c>
      <c r="U488" s="20" t="s">
        <v>37</v>
      </c>
      <c r="V488" s="21" t="s">
        <v>38</v>
      </c>
      <c r="W488" s="22">
        <v>10</v>
      </c>
      <c r="X488" s="23"/>
    </row>
    <row r="489" spans="1:24" s="1" customFormat="1" ht="21" customHeight="1" x14ac:dyDescent="0.3">
      <c r="A489" s="24" t="s">
        <v>23</v>
      </c>
      <c r="B489" s="24" t="s">
        <v>723</v>
      </c>
      <c r="C489" s="27" t="s">
        <v>724</v>
      </c>
      <c r="D489" s="54"/>
      <c r="E489" s="39" t="str">
        <f>HYPERLINK("https://www.google.ru/search?q=1378840-044&amp;newwindow=1&amp;tbm=isch","Еще фото")</f>
        <v>Еще фото</v>
      </c>
      <c r="F489" s="13" t="s">
        <v>98</v>
      </c>
      <c r="G489" s="24" t="s">
        <v>628</v>
      </c>
      <c r="H489" s="24" t="s">
        <v>27</v>
      </c>
      <c r="I489" s="24" t="s">
        <v>629</v>
      </c>
      <c r="J489" s="14" t="s">
        <v>29</v>
      </c>
      <c r="K489" s="15" t="s">
        <v>30</v>
      </c>
      <c r="L489" s="57"/>
      <c r="M489" s="14" t="s">
        <v>631</v>
      </c>
      <c r="N489" s="14" t="s">
        <v>726</v>
      </c>
      <c r="O489" s="14"/>
      <c r="P489" s="15" t="s">
        <v>51</v>
      </c>
      <c r="Q489" s="16">
        <v>42999</v>
      </c>
      <c r="R489" s="17">
        <v>40</v>
      </c>
      <c r="S489" s="18">
        <v>29669.309999999998</v>
      </c>
      <c r="T489" s="19" t="s">
        <v>36</v>
      </c>
      <c r="U489" s="20" t="s">
        <v>39</v>
      </c>
      <c r="V489" s="21" t="s">
        <v>40</v>
      </c>
      <c r="W489" s="22">
        <v>12</v>
      </c>
      <c r="X489" s="23"/>
    </row>
    <row r="490" spans="1:24" s="1" customFormat="1" ht="21" customHeight="1" x14ac:dyDescent="0.3">
      <c r="A490" s="24" t="s">
        <v>23</v>
      </c>
      <c r="B490" s="24" t="s">
        <v>723</v>
      </c>
      <c r="C490" s="27" t="s">
        <v>724</v>
      </c>
      <c r="D490" s="54"/>
      <c r="E490" s="39" t="str">
        <f>HYPERLINK("https://www.google.ru/search?q=1378840-044&amp;newwindow=1&amp;tbm=isch","Еще фото")</f>
        <v>Еще фото</v>
      </c>
      <c r="F490" s="13" t="s">
        <v>98</v>
      </c>
      <c r="G490" s="24" t="s">
        <v>628</v>
      </c>
      <c r="H490" s="24" t="s">
        <v>27</v>
      </c>
      <c r="I490" s="24" t="s">
        <v>629</v>
      </c>
      <c r="J490" s="14" t="s">
        <v>29</v>
      </c>
      <c r="K490" s="15" t="s">
        <v>30</v>
      </c>
      <c r="L490" s="57"/>
      <c r="M490" s="14" t="s">
        <v>631</v>
      </c>
      <c r="N490" s="14" t="s">
        <v>726</v>
      </c>
      <c r="O490" s="14"/>
      <c r="P490" s="15" t="s">
        <v>51</v>
      </c>
      <c r="Q490" s="16">
        <v>42999</v>
      </c>
      <c r="R490" s="17">
        <v>40</v>
      </c>
      <c r="S490" s="18">
        <v>29669.309999999998</v>
      </c>
      <c r="T490" s="19" t="s">
        <v>36</v>
      </c>
      <c r="U490" s="20" t="s">
        <v>41</v>
      </c>
      <c r="V490" s="21" t="s">
        <v>42</v>
      </c>
      <c r="W490" s="22">
        <v>2</v>
      </c>
      <c r="X490" s="23"/>
    </row>
    <row r="491" spans="1:24" s="1" customFormat="1" ht="21" customHeight="1" x14ac:dyDescent="0.3">
      <c r="A491" s="24" t="s">
        <v>23</v>
      </c>
      <c r="B491" s="24" t="s">
        <v>723</v>
      </c>
      <c r="C491" s="27" t="s">
        <v>724</v>
      </c>
      <c r="D491" s="54"/>
      <c r="E491" s="39" t="str">
        <f>HYPERLINK("https://www.google.ru/search?q=1378840-044&amp;newwindow=1&amp;tbm=isch","Еще фото")</f>
        <v>Еще фото</v>
      </c>
      <c r="F491" s="13" t="s">
        <v>98</v>
      </c>
      <c r="G491" s="24" t="s">
        <v>628</v>
      </c>
      <c r="H491" s="24" t="s">
        <v>27</v>
      </c>
      <c r="I491" s="24" t="s">
        <v>629</v>
      </c>
      <c r="J491" s="14" t="s">
        <v>29</v>
      </c>
      <c r="K491" s="15" t="s">
        <v>30</v>
      </c>
      <c r="L491" s="57"/>
      <c r="M491" s="14" t="s">
        <v>631</v>
      </c>
      <c r="N491" s="14" t="s">
        <v>726</v>
      </c>
      <c r="O491" s="14"/>
      <c r="P491" s="15" t="s">
        <v>51</v>
      </c>
      <c r="Q491" s="16">
        <v>42999</v>
      </c>
      <c r="R491" s="17">
        <v>40</v>
      </c>
      <c r="S491" s="18">
        <v>29669.309999999998</v>
      </c>
      <c r="T491" s="19" t="s">
        <v>36</v>
      </c>
      <c r="U491" s="20" t="s">
        <v>43</v>
      </c>
      <c r="V491" s="21" t="s">
        <v>44</v>
      </c>
      <c r="W491" s="22">
        <v>4</v>
      </c>
      <c r="X491" s="23"/>
    </row>
    <row r="492" spans="1:24" s="1" customFormat="1" ht="32.1" customHeight="1" x14ac:dyDescent="0.3">
      <c r="A492" s="24" t="s">
        <v>23</v>
      </c>
      <c r="B492" s="24" t="s">
        <v>723</v>
      </c>
      <c r="C492" s="27" t="s">
        <v>724</v>
      </c>
      <c r="D492" s="55"/>
      <c r="E492" s="39" t="str">
        <f>HYPERLINK("https://www.google.ru/search?q=1378840-044&amp;newwindow=1&amp;tbm=isch","Еще фото")</f>
        <v>Еще фото</v>
      </c>
      <c r="F492" s="13" t="s">
        <v>98</v>
      </c>
      <c r="G492" s="24" t="s">
        <v>628</v>
      </c>
      <c r="H492" s="24" t="s">
        <v>27</v>
      </c>
      <c r="I492" s="24" t="s">
        <v>629</v>
      </c>
      <c r="J492" s="14" t="s">
        <v>29</v>
      </c>
      <c r="K492" s="15" t="s">
        <v>30</v>
      </c>
      <c r="L492" s="58"/>
      <c r="M492" s="14" t="s">
        <v>631</v>
      </c>
      <c r="N492" s="14" t="s">
        <v>726</v>
      </c>
      <c r="O492" s="14"/>
      <c r="P492" s="15" t="s">
        <v>51</v>
      </c>
      <c r="Q492" s="16">
        <v>42999</v>
      </c>
      <c r="R492" s="17">
        <v>40</v>
      </c>
      <c r="S492" s="18">
        <v>29669.309999999998</v>
      </c>
      <c r="T492" s="19" t="s">
        <v>36</v>
      </c>
      <c r="U492" s="20" t="s">
        <v>104</v>
      </c>
      <c r="V492" s="21" t="s">
        <v>105</v>
      </c>
      <c r="W492" s="22">
        <v>2</v>
      </c>
      <c r="X492" s="23"/>
    </row>
    <row r="493" spans="1:24" s="1" customFormat="1" ht="26.1" customHeight="1" x14ac:dyDescent="0.3">
      <c r="A493" s="11" t="s">
        <v>23</v>
      </c>
      <c r="B493" s="11" t="s">
        <v>663</v>
      </c>
      <c r="C493" s="12" t="s">
        <v>727</v>
      </c>
      <c r="D493" s="53"/>
      <c r="E493" s="39" t="str">
        <f>HYPERLINK("https://www.google.ru/search?q=1384641-001&amp;newwindow=1&amp;tbm=isch","Еще фото")</f>
        <v>Еще фото</v>
      </c>
      <c r="F493" s="13"/>
      <c r="G493" s="11" t="s">
        <v>634</v>
      </c>
      <c r="H493" s="11" t="s">
        <v>27</v>
      </c>
      <c r="I493" s="14" t="s">
        <v>629</v>
      </c>
      <c r="J493" s="14" t="s">
        <v>47</v>
      </c>
      <c r="K493" s="15" t="s">
        <v>30</v>
      </c>
      <c r="L493" s="56" t="s">
        <v>665</v>
      </c>
      <c r="M493" s="14"/>
      <c r="N493" s="14" t="s">
        <v>33</v>
      </c>
      <c r="O493" s="14"/>
      <c r="P493" s="15" t="s">
        <v>540</v>
      </c>
      <c r="Q493" s="16">
        <v>46999</v>
      </c>
      <c r="R493" s="17">
        <v>40</v>
      </c>
      <c r="S493" s="18">
        <v>32429.309999999998</v>
      </c>
      <c r="T493" s="19" t="s">
        <v>36</v>
      </c>
      <c r="U493" s="20" t="s">
        <v>37</v>
      </c>
      <c r="V493" s="21" t="s">
        <v>38</v>
      </c>
      <c r="W493" s="22">
        <v>2</v>
      </c>
      <c r="X493" s="23"/>
    </row>
    <row r="494" spans="1:24" s="1" customFormat="1" ht="26.1" customHeight="1" x14ac:dyDescent="0.3">
      <c r="A494" s="24" t="s">
        <v>23</v>
      </c>
      <c r="B494" s="24" t="s">
        <v>663</v>
      </c>
      <c r="C494" s="12" t="s">
        <v>727</v>
      </c>
      <c r="D494" s="54"/>
      <c r="E494" s="39" t="str">
        <f>HYPERLINK("https://www.google.ru/search?q=1384641-001&amp;newwindow=1&amp;tbm=isch","Еще фото")</f>
        <v>Еще фото</v>
      </c>
      <c r="F494" s="13"/>
      <c r="G494" s="24" t="s">
        <v>634</v>
      </c>
      <c r="H494" s="24" t="s">
        <v>27</v>
      </c>
      <c r="I494" s="24" t="s">
        <v>629</v>
      </c>
      <c r="J494" s="14" t="s">
        <v>47</v>
      </c>
      <c r="K494" s="15" t="s">
        <v>30</v>
      </c>
      <c r="L494" s="57"/>
      <c r="M494" s="14"/>
      <c r="N494" s="14" t="s">
        <v>33</v>
      </c>
      <c r="O494" s="14"/>
      <c r="P494" s="15" t="s">
        <v>540</v>
      </c>
      <c r="Q494" s="16">
        <v>46999</v>
      </c>
      <c r="R494" s="17">
        <v>40</v>
      </c>
      <c r="S494" s="18">
        <v>32429.309999999998</v>
      </c>
      <c r="T494" s="19" t="s">
        <v>36</v>
      </c>
      <c r="U494" s="20" t="s">
        <v>39</v>
      </c>
      <c r="V494" s="21" t="s">
        <v>40</v>
      </c>
      <c r="W494" s="22">
        <v>5</v>
      </c>
      <c r="X494" s="23"/>
    </row>
    <row r="495" spans="1:24" s="1" customFormat="1" ht="26.1" customHeight="1" x14ac:dyDescent="0.3">
      <c r="A495" s="24" t="s">
        <v>23</v>
      </c>
      <c r="B495" s="24" t="s">
        <v>663</v>
      </c>
      <c r="C495" s="12" t="s">
        <v>727</v>
      </c>
      <c r="D495" s="54"/>
      <c r="E495" s="39" t="str">
        <f>HYPERLINK("https://www.google.ru/search?q=1384641-001&amp;newwindow=1&amp;tbm=isch","Еще фото")</f>
        <v>Еще фото</v>
      </c>
      <c r="F495" s="13"/>
      <c r="G495" s="24" t="s">
        <v>634</v>
      </c>
      <c r="H495" s="24" t="s">
        <v>27</v>
      </c>
      <c r="I495" s="24" t="s">
        <v>629</v>
      </c>
      <c r="J495" s="14" t="s">
        <v>47</v>
      </c>
      <c r="K495" s="15" t="s">
        <v>30</v>
      </c>
      <c r="L495" s="57"/>
      <c r="M495" s="14"/>
      <c r="N495" s="14" t="s">
        <v>33</v>
      </c>
      <c r="O495" s="14"/>
      <c r="P495" s="15" t="s">
        <v>540</v>
      </c>
      <c r="Q495" s="16">
        <v>46999</v>
      </c>
      <c r="R495" s="17">
        <v>40</v>
      </c>
      <c r="S495" s="18">
        <v>32429.309999999998</v>
      </c>
      <c r="T495" s="19" t="s">
        <v>36</v>
      </c>
      <c r="U495" s="20" t="s">
        <v>41</v>
      </c>
      <c r="V495" s="21" t="s">
        <v>42</v>
      </c>
      <c r="W495" s="22">
        <v>7</v>
      </c>
      <c r="X495" s="23"/>
    </row>
    <row r="496" spans="1:24" s="1" customFormat="1" ht="26.1" customHeight="1" x14ac:dyDescent="0.3">
      <c r="A496" s="24" t="s">
        <v>23</v>
      </c>
      <c r="B496" s="24" t="s">
        <v>663</v>
      </c>
      <c r="C496" s="12" t="s">
        <v>727</v>
      </c>
      <c r="D496" s="55"/>
      <c r="E496" s="39" t="str">
        <f>HYPERLINK("https://www.google.ru/search?q=1384641-001&amp;newwindow=1&amp;tbm=isch","Еще фото")</f>
        <v>Еще фото</v>
      </c>
      <c r="F496" s="13"/>
      <c r="G496" s="24" t="s">
        <v>634</v>
      </c>
      <c r="H496" s="24" t="s">
        <v>27</v>
      </c>
      <c r="I496" s="24" t="s">
        <v>629</v>
      </c>
      <c r="J496" s="14" t="s">
        <v>47</v>
      </c>
      <c r="K496" s="15" t="s">
        <v>30</v>
      </c>
      <c r="L496" s="58"/>
      <c r="M496" s="14"/>
      <c r="N496" s="14" t="s">
        <v>33</v>
      </c>
      <c r="O496" s="14"/>
      <c r="P496" s="15" t="s">
        <v>540</v>
      </c>
      <c r="Q496" s="16">
        <v>46999</v>
      </c>
      <c r="R496" s="17">
        <v>40</v>
      </c>
      <c r="S496" s="18">
        <v>32429.309999999998</v>
      </c>
      <c r="T496" s="19" t="s">
        <v>36</v>
      </c>
      <c r="U496" s="20" t="s">
        <v>43</v>
      </c>
      <c r="V496" s="21" t="s">
        <v>44</v>
      </c>
      <c r="W496" s="22">
        <v>3</v>
      </c>
      <c r="X496" s="23"/>
    </row>
    <row r="497" spans="1:24" s="1" customFormat="1" ht="108" customHeight="1" x14ac:dyDescent="0.3">
      <c r="A497" s="11" t="s">
        <v>23</v>
      </c>
      <c r="B497" s="11" t="s">
        <v>728</v>
      </c>
      <c r="C497" s="12" t="s">
        <v>729</v>
      </c>
      <c r="D497" s="25"/>
      <c r="E497" s="39" t="str">
        <f>HYPERLINK("https://www.google.ru/search?q=1384642-110&amp;newwindow=1&amp;tbm=isch","Еще фото")</f>
        <v>Еще фото</v>
      </c>
      <c r="F497" s="13"/>
      <c r="G497" s="11" t="s">
        <v>643</v>
      </c>
      <c r="H497" s="11" t="s">
        <v>27</v>
      </c>
      <c r="I497" s="14" t="s">
        <v>629</v>
      </c>
      <c r="J497" s="14" t="s">
        <v>47</v>
      </c>
      <c r="K497" s="15" t="s">
        <v>30</v>
      </c>
      <c r="L497" s="14" t="s">
        <v>730</v>
      </c>
      <c r="M497" s="14"/>
      <c r="N497" s="14" t="s">
        <v>74</v>
      </c>
      <c r="O497" s="14"/>
      <c r="P497" s="15" t="s">
        <v>492</v>
      </c>
      <c r="Q497" s="16">
        <v>27999</v>
      </c>
      <c r="R497" s="17">
        <v>40</v>
      </c>
      <c r="S497" s="18">
        <v>19319.310000000001</v>
      </c>
      <c r="T497" s="19" t="s">
        <v>36</v>
      </c>
      <c r="U497" s="20" t="s">
        <v>39</v>
      </c>
      <c r="V497" s="21" t="s">
        <v>40</v>
      </c>
      <c r="W497" s="22">
        <v>1</v>
      </c>
      <c r="X497" s="23"/>
    </row>
    <row r="498" spans="1:24" s="1" customFormat="1" ht="17.100000000000001" customHeight="1" x14ac:dyDescent="0.3">
      <c r="A498" s="11" t="s">
        <v>23</v>
      </c>
      <c r="B498" s="11" t="s">
        <v>637</v>
      </c>
      <c r="C498" s="12" t="s">
        <v>731</v>
      </c>
      <c r="D498" s="53"/>
      <c r="E498" s="39" t="str">
        <f t="shared" ref="E498:E503" si="3">HYPERLINK("https://www.google.ru/search?q=1385837-001&amp;newwindow=1&amp;tbm=isch","Еще фото")</f>
        <v>Еще фото</v>
      </c>
      <c r="F498" s="13" t="s">
        <v>98</v>
      </c>
      <c r="G498" s="11" t="s">
        <v>634</v>
      </c>
      <c r="H498" s="11" t="s">
        <v>27</v>
      </c>
      <c r="I498" s="14" t="s">
        <v>629</v>
      </c>
      <c r="J498" s="14" t="s">
        <v>29</v>
      </c>
      <c r="K498" s="15" t="s">
        <v>30</v>
      </c>
      <c r="L498" s="56" t="s">
        <v>639</v>
      </c>
      <c r="M498" s="14"/>
      <c r="N498" s="14" t="s">
        <v>33</v>
      </c>
      <c r="O498" s="14"/>
      <c r="P498" s="15" t="s">
        <v>540</v>
      </c>
      <c r="Q498" s="16">
        <v>25699</v>
      </c>
      <c r="R498" s="17">
        <v>40</v>
      </c>
      <c r="S498" s="18">
        <v>17732.309999999998</v>
      </c>
      <c r="T498" s="19" t="s">
        <v>36</v>
      </c>
      <c r="U498" s="20" t="s">
        <v>37</v>
      </c>
      <c r="V498" s="21" t="s">
        <v>38</v>
      </c>
      <c r="W498" s="22">
        <v>27</v>
      </c>
      <c r="X498" s="23"/>
    </row>
    <row r="499" spans="1:24" s="1" customFormat="1" ht="17.100000000000001" customHeight="1" x14ac:dyDescent="0.3">
      <c r="A499" s="24" t="s">
        <v>23</v>
      </c>
      <c r="B499" s="24" t="s">
        <v>637</v>
      </c>
      <c r="C499" s="12" t="s">
        <v>731</v>
      </c>
      <c r="D499" s="54"/>
      <c r="E499" s="39" t="str">
        <f t="shared" si="3"/>
        <v>Еще фото</v>
      </c>
      <c r="F499" s="13" t="s">
        <v>98</v>
      </c>
      <c r="G499" s="24" t="s">
        <v>634</v>
      </c>
      <c r="H499" s="24" t="s">
        <v>27</v>
      </c>
      <c r="I499" s="24" t="s">
        <v>629</v>
      </c>
      <c r="J499" s="14" t="s">
        <v>29</v>
      </c>
      <c r="K499" s="15" t="s">
        <v>30</v>
      </c>
      <c r="L499" s="57"/>
      <c r="M499" s="14"/>
      <c r="N499" s="14" t="s">
        <v>33</v>
      </c>
      <c r="O499" s="14"/>
      <c r="P499" s="15" t="s">
        <v>540</v>
      </c>
      <c r="Q499" s="16">
        <v>25699</v>
      </c>
      <c r="R499" s="17">
        <v>40</v>
      </c>
      <c r="S499" s="18">
        <v>17732.309999999998</v>
      </c>
      <c r="T499" s="19" t="s">
        <v>36</v>
      </c>
      <c r="U499" s="20" t="s">
        <v>39</v>
      </c>
      <c r="V499" s="21" t="s">
        <v>40</v>
      </c>
      <c r="W499" s="22">
        <v>47</v>
      </c>
      <c r="X499" s="23"/>
    </row>
    <row r="500" spans="1:24" s="1" customFormat="1" ht="17.100000000000001" customHeight="1" x14ac:dyDescent="0.3">
      <c r="A500" s="24" t="s">
        <v>23</v>
      </c>
      <c r="B500" s="24" t="s">
        <v>637</v>
      </c>
      <c r="C500" s="12" t="s">
        <v>731</v>
      </c>
      <c r="D500" s="54"/>
      <c r="E500" s="39" t="str">
        <f t="shared" si="3"/>
        <v>Еще фото</v>
      </c>
      <c r="F500" s="13" t="s">
        <v>98</v>
      </c>
      <c r="G500" s="24" t="s">
        <v>634</v>
      </c>
      <c r="H500" s="24" t="s">
        <v>27</v>
      </c>
      <c r="I500" s="24" t="s">
        <v>629</v>
      </c>
      <c r="J500" s="14" t="s">
        <v>29</v>
      </c>
      <c r="K500" s="15" t="s">
        <v>30</v>
      </c>
      <c r="L500" s="57"/>
      <c r="M500" s="14"/>
      <c r="N500" s="14" t="s">
        <v>33</v>
      </c>
      <c r="O500" s="14"/>
      <c r="P500" s="15" t="s">
        <v>540</v>
      </c>
      <c r="Q500" s="16">
        <v>25699</v>
      </c>
      <c r="R500" s="17">
        <v>40</v>
      </c>
      <c r="S500" s="18">
        <v>17732.309999999998</v>
      </c>
      <c r="T500" s="19" t="s">
        <v>36</v>
      </c>
      <c r="U500" s="20" t="s">
        <v>41</v>
      </c>
      <c r="V500" s="21" t="s">
        <v>42</v>
      </c>
      <c r="W500" s="22">
        <v>52</v>
      </c>
      <c r="X500" s="23"/>
    </row>
    <row r="501" spans="1:24" s="1" customFormat="1" ht="17.100000000000001" customHeight="1" x14ac:dyDescent="0.3">
      <c r="A501" s="24" t="s">
        <v>23</v>
      </c>
      <c r="B501" s="24" t="s">
        <v>637</v>
      </c>
      <c r="C501" s="12" t="s">
        <v>731</v>
      </c>
      <c r="D501" s="54"/>
      <c r="E501" s="39" t="str">
        <f t="shared" si="3"/>
        <v>Еще фото</v>
      </c>
      <c r="F501" s="13" t="s">
        <v>98</v>
      </c>
      <c r="G501" s="24" t="s">
        <v>634</v>
      </c>
      <c r="H501" s="24" t="s">
        <v>27</v>
      </c>
      <c r="I501" s="24" t="s">
        <v>629</v>
      </c>
      <c r="J501" s="14" t="s">
        <v>29</v>
      </c>
      <c r="K501" s="15" t="s">
        <v>30</v>
      </c>
      <c r="L501" s="57"/>
      <c r="M501" s="14"/>
      <c r="N501" s="14" t="s">
        <v>33</v>
      </c>
      <c r="O501" s="14"/>
      <c r="P501" s="15" t="s">
        <v>540</v>
      </c>
      <c r="Q501" s="16">
        <v>25699</v>
      </c>
      <c r="R501" s="17">
        <v>40</v>
      </c>
      <c r="S501" s="18">
        <v>17732.309999999998</v>
      </c>
      <c r="T501" s="19" t="s">
        <v>36</v>
      </c>
      <c r="U501" s="20" t="s">
        <v>43</v>
      </c>
      <c r="V501" s="21" t="s">
        <v>44</v>
      </c>
      <c r="W501" s="22">
        <v>24</v>
      </c>
      <c r="X501" s="23"/>
    </row>
    <row r="502" spans="1:24" s="1" customFormat="1" ht="17.100000000000001" customHeight="1" x14ac:dyDescent="0.3">
      <c r="A502" s="24" t="s">
        <v>23</v>
      </c>
      <c r="B502" s="24" t="s">
        <v>637</v>
      </c>
      <c r="C502" s="12" t="s">
        <v>731</v>
      </c>
      <c r="D502" s="54"/>
      <c r="E502" s="39" t="str">
        <f t="shared" si="3"/>
        <v>Еще фото</v>
      </c>
      <c r="F502" s="13" t="s">
        <v>98</v>
      </c>
      <c r="G502" s="24" t="s">
        <v>634</v>
      </c>
      <c r="H502" s="24" t="s">
        <v>27</v>
      </c>
      <c r="I502" s="24" t="s">
        <v>629</v>
      </c>
      <c r="J502" s="14" t="s">
        <v>29</v>
      </c>
      <c r="K502" s="15" t="s">
        <v>30</v>
      </c>
      <c r="L502" s="57"/>
      <c r="M502" s="14"/>
      <c r="N502" s="14" t="s">
        <v>33</v>
      </c>
      <c r="O502" s="14"/>
      <c r="P502" s="15" t="s">
        <v>540</v>
      </c>
      <c r="Q502" s="16">
        <v>25699</v>
      </c>
      <c r="R502" s="17">
        <v>40</v>
      </c>
      <c r="S502" s="18">
        <v>17732.309999999998</v>
      </c>
      <c r="T502" s="19" t="s">
        <v>36</v>
      </c>
      <c r="U502" s="20" t="s">
        <v>104</v>
      </c>
      <c r="V502" s="21" t="s">
        <v>105</v>
      </c>
      <c r="W502" s="22">
        <v>8</v>
      </c>
      <c r="X502" s="23"/>
    </row>
    <row r="503" spans="1:24" s="1" customFormat="1" ht="21.95" customHeight="1" x14ac:dyDescent="0.3">
      <c r="A503" s="24" t="s">
        <v>23</v>
      </c>
      <c r="B503" s="24" t="s">
        <v>637</v>
      </c>
      <c r="C503" s="12" t="s">
        <v>731</v>
      </c>
      <c r="D503" s="55"/>
      <c r="E503" s="39" t="str">
        <f t="shared" si="3"/>
        <v>Еще фото</v>
      </c>
      <c r="F503" s="13" t="s">
        <v>98</v>
      </c>
      <c r="G503" s="24" t="s">
        <v>634</v>
      </c>
      <c r="H503" s="24" t="s">
        <v>27</v>
      </c>
      <c r="I503" s="24" t="s">
        <v>629</v>
      </c>
      <c r="J503" s="14" t="s">
        <v>29</v>
      </c>
      <c r="K503" s="15" t="s">
        <v>30</v>
      </c>
      <c r="L503" s="58"/>
      <c r="M503" s="14"/>
      <c r="N503" s="14" t="s">
        <v>33</v>
      </c>
      <c r="O503" s="14"/>
      <c r="P503" s="15" t="s">
        <v>540</v>
      </c>
      <c r="Q503" s="16">
        <v>25699</v>
      </c>
      <c r="R503" s="17">
        <v>40</v>
      </c>
      <c r="S503" s="18">
        <v>17732.309999999998</v>
      </c>
      <c r="T503" s="19" t="s">
        <v>36</v>
      </c>
      <c r="U503" s="20" t="s">
        <v>732</v>
      </c>
      <c r="V503" s="21" t="s">
        <v>733</v>
      </c>
      <c r="W503" s="22">
        <v>2</v>
      </c>
      <c r="X503" s="23"/>
    </row>
    <row r="504" spans="1:24" s="1" customFormat="1" ht="35.1" customHeight="1" x14ac:dyDescent="0.3">
      <c r="A504" s="11" t="s">
        <v>23</v>
      </c>
      <c r="B504" s="11" t="s">
        <v>637</v>
      </c>
      <c r="C504" s="12" t="s">
        <v>734</v>
      </c>
      <c r="D504" s="53"/>
      <c r="E504" s="39" t="str">
        <f>HYPERLINK("https://www.google.ru/search?q=1385837-299&amp;newwindow=1&amp;tbm=isch","Еще фото")</f>
        <v>Еще фото</v>
      </c>
      <c r="F504" s="13" t="s">
        <v>98</v>
      </c>
      <c r="G504" s="11" t="s">
        <v>634</v>
      </c>
      <c r="H504" s="11" t="s">
        <v>27</v>
      </c>
      <c r="I504" s="14" t="s">
        <v>629</v>
      </c>
      <c r="J504" s="14" t="s">
        <v>29</v>
      </c>
      <c r="K504" s="15" t="s">
        <v>30</v>
      </c>
      <c r="L504" s="56" t="s">
        <v>639</v>
      </c>
      <c r="M504" s="14"/>
      <c r="N504" s="14" t="s">
        <v>215</v>
      </c>
      <c r="O504" s="14"/>
      <c r="P504" s="15" t="s">
        <v>492</v>
      </c>
      <c r="Q504" s="16">
        <v>31999</v>
      </c>
      <c r="R504" s="17">
        <v>40</v>
      </c>
      <c r="S504" s="18">
        <v>22079.31</v>
      </c>
      <c r="T504" s="19" t="s">
        <v>36</v>
      </c>
      <c r="U504" s="20" t="s">
        <v>37</v>
      </c>
      <c r="V504" s="21" t="s">
        <v>38</v>
      </c>
      <c r="W504" s="22">
        <v>5</v>
      </c>
      <c r="X504" s="23"/>
    </row>
    <row r="505" spans="1:24" s="1" customFormat="1" ht="35.1" customHeight="1" x14ac:dyDescent="0.3">
      <c r="A505" s="24" t="s">
        <v>23</v>
      </c>
      <c r="B505" s="24" t="s">
        <v>637</v>
      </c>
      <c r="C505" s="12" t="s">
        <v>734</v>
      </c>
      <c r="D505" s="54"/>
      <c r="E505" s="39" t="str">
        <f>HYPERLINK("https://www.google.ru/search?q=1385837-299&amp;newwindow=1&amp;tbm=isch","Еще фото")</f>
        <v>Еще фото</v>
      </c>
      <c r="F505" s="13" t="s">
        <v>98</v>
      </c>
      <c r="G505" s="24" t="s">
        <v>634</v>
      </c>
      <c r="H505" s="24" t="s">
        <v>27</v>
      </c>
      <c r="I505" s="24" t="s">
        <v>629</v>
      </c>
      <c r="J505" s="14" t="s">
        <v>29</v>
      </c>
      <c r="K505" s="15" t="s">
        <v>30</v>
      </c>
      <c r="L505" s="57"/>
      <c r="M505" s="14"/>
      <c r="N505" s="14" t="s">
        <v>215</v>
      </c>
      <c r="O505" s="14"/>
      <c r="P505" s="15" t="s">
        <v>492</v>
      </c>
      <c r="Q505" s="16">
        <v>31999</v>
      </c>
      <c r="R505" s="17">
        <v>40</v>
      </c>
      <c r="S505" s="18">
        <v>22079.31</v>
      </c>
      <c r="T505" s="19" t="s">
        <v>36</v>
      </c>
      <c r="U505" s="20" t="s">
        <v>39</v>
      </c>
      <c r="V505" s="21" t="s">
        <v>40</v>
      </c>
      <c r="W505" s="22">
        <v>16</v>
      </c>
      <c r="X505" s="23"/>
    </row>
    <row r="506" spans="1:24" s="1" customFormat="1" ht="36.950000000000003" customHeight="1" x14ac:dyDescent="0.3">
      <c r="A506" s="24" t="s">
        <v>23</v>
      </c>
      <c r="B506" s="24" t="s">
        <v>637</v>
      </c>
      <c r="C506" s="12" t="s">
        <v>734</v>
      </c>
      <c r="D506" s="55"/>
      <c r="E506" s="39" t="str">
        <f>HYPERLINK("https://www.google.ru/search?q=1385837-299&amp;newwindow=1&amp;tbm=isch","Еще фото")</f>
        <v>Еще фото</v>
      </c>
      <c r="F506" s="13" t="s">
        <v>98</v>
      </c>
      <c r="G506" s="24" t="s">
        <v>634</v>
      </c>
      <c r="H506" s="24" t="s">
        <v>27</v>
      </c>
      <c r="I506" s="24" t="s">
        <v>629</v>
      </c>
      <c r="J506" s="14" t="s">
        <v>29</v>
      </c>
      <c r="K506" s="15" t="s">
        <v>30</v>
      </c>
      <c r="L506" s="58"/>
      <c r="M506" s="14"/>
      <c r="N506" s="14" t="s">
        <v>215</v>
      </c>
      <c r="O506" s="14"/>
      <c r="P506" s="15" t="s">
        <v>492</v>
      </c>
      <c r="Q506" s="16">
        <v>31999</v>
      </c>
      <c r="R506" s="17">
        <v>40</v>
      </c>
      <c r="S506" s="18">
        <v>22079.31</v>
      </c>
      <c r="T506" s="19" t="s">
        <v>36</v>
      </c>
      <c r="U506" s="20" t="s">
        <v>41</v>
      </c>
      <c r="V506" s="21" t="s">
        <v>42</v>
      </c>
      <c r="W506" s="22">
        <v>11</v>
      </c>
      <c r="X506" s="23"/>
    </row>
    <row r="507" spans="1:24" s="1" customFormat="1" ht="51.95" customHeight="1" x14ac:dyDescent="0.3">
      <c r="A507" s="11" t="s">
        <v>23</v>
      </c>
      <c r="B507" s="11" t="s">
        <v>735</v>
      </c>
      <c r="C507" s="12" t="s">
        <v>736</v>
      </c>
      <c r="D507" s="59"/>
      <c r="E507" s="39" t="str">
        <f>HYPERLINK("https://www.google.ru/search?q=1385838-299&amp;newwindow=1&amp;tbm=isch","Еще фото")</f>
        <v>Еще фото</v>
      </c>
      <c r="F507" s="13"/>
      <c r="G507" s="11" t="s">
        <v>643</v>
      </c>
      <c r="H507" s="11" t="s">
        <v>27</v>
      </c>
      <c r="I507" s="14" t="s">
        <v>629</v>
      </c>
      <c r="J507" s="14" t="s">
        <v>29</v>
      </c>
      <c r="K507" s="15" t="s">
        <v>30</v>
      </c>
      <c r="L507" s="56" t="s">
        <v>737</v>
      </c>
      <c r="M507" s="14"/>
      <c r="N507" s="14" t="s">
        <v>215</v>
      </c>
      <c r="O507" s="14"/>
      <c r="P507" s="15" t="s">
        <v>492</v>
      </c>
      <c r="Q507" s="16">
        <v>18299</v>
      </c>
      <c r="R507" s="17">
        <v>40</v>
      </c>
      <c r="S507" s="18">
        <v>12626.31</v>
      </c>
      <c r="T507" s="19" t="s">
        <v>36</v>
      </c>
      <c r="U507" s="20" t="s">
        <v>37</v>
      </c>
      <c r="V507" s="21" t="s">
        <v>38</v>
      </c>
      <c r="W507" s="22">
        <v>4</v>
      </c>
      <c r="X507" s="23"/>
    </row>
    <row r="508" spans="1:24" s="1" customFormat="1" ht="60.95" customHeight="1" x14ac:dyDescent="0.3">
      <c r="A508" s="24" t="s">
        <v>23</v>
      </c>
      <c r="B508" s="24" t="s">
        <v>735</v>
      </c>
      <c r="C508" s="12" t="s">
        <v>736</v>
      </c>
      <c r="D508" s="60"/>
      <c r="E508" s="39" t="str">
        <f>HYPERLINK("https://www.google.ru/search?q=1385838-299&amp;newwindow=1&amp;tbm=isch","Еще фото")</f>
        <v>Еще фото</v>
      </c>
      <c r="F508" s="13"/>
      <c r="G508" s="24" t="s">
        <v>643</v>
      </c>
      <c r="H508" s="24" t="s">
        <v>27</v>
      </c>
      <c r="I508" s="24" t="s">
        <v>629</v>
      </c>
      <c r="J508" s="14" t="s">
        <v>29</v>
      </c>
      <c r="K508" s="15" t="s">
        <v>30</v>
      </c>
      <c r="L508" s="58"/>
      <c r="M508" s="14"/>
      <c r="N508" s="14" t="s">
        <v>215</v>
      </c>
      <c r="O508" s="14"/>
      <c r="P508" s="15" t="s">
        <v>492</v>
      </c>
      <c r="Q508" s="16">
        <v>18299</v>
      </c>
      <c r="R508" s="17">
        <v>40</v>
      </c>
      <c r="S508" s="18">
        <v>12626.31</v>
      </c>
      <c r="T508" s="19" t="s">
        <v>36</v>
      </c>
      <c r="U508" s="20" t="s">
        <v>39</v>
      </c>
      <c r="V508" s="21" t="s">
        <v>40</v>
      </c>
      <c r="W508" s="22">
        <v>3</v>
      </c>
      <c r="X508" s="23"/>
    </row>
    <row r="509" spans="1:24" s="1" customFormat="1" ht="26.1" customHeight="1" x14ac:dyDescent="0.3">
      <c r="A509" s="11" t="s">
        <v>23</v>
      </c>
      <c r="B509" s="11" t="s">
        <v>655</v>
      </c>
      <c r="C509" s="12" t="s">
        <v>738</v>
      </c>
      <c r="D509" s="53"/>
      <c r="E509" s="39" t="str">
        <f>HYPERLINK("https://www.google.ru/search?q=1385839-001&amp;newwindow=1&amp;tbm=isch","Еще фото")</f>
        <v>Еще фото</v>
      </c>
      <c r="F509" s="13" t="s">
        <v>98</v>
      </c>
      <c r="G509" s="11" t="s">
        <v>657</v>
      </c>
      <c r="H509" s="11" t="s">
        <v>27</v>
      </c>
      <c r="I509" s="14" t="s">
        <v>629</v>
      </c>
      <c r="J509" s="14" t="s">
        <v>29</v>
      </c>
      <c r="K509" s="15" t="s">
        <v>30</v>
      </c>
      <c r="L509" s="56" t="s">
        <v>658</v>
      </c>
      <c r="M509" s="14"/>
      <c r="N509" s="14" t="s">
        <v>33</v>
      </c>
      <c r="O509" s="14"/>
      <c r="P509" s="15" t="s">
        <v>540</v>
      </c>
      <c r="Q509" s="16">
        <v>32599</v>
      </c>
      <c r="R509" s="17">
        <v>40</v>
      </c>
      <c r="S509" s="18">
        <v>22493.31</v>
      </c>
      <c r="T509" s="19" t="s">
        <v>36</v>
      </c>
      <c r="U509" s="20" t="s">
        <v>39</v>
      </c>
      <c r="V509" s="21" t="s">
        <v>40</v>
      </c>
      <c r="W509" s="22">
        <v>10</v>
      </c>
      <c r="X509" s="23"/>
    </row>
    <row r="510" spans="1:24" s="1" customFormat="1" ht="26.1" customHeight="1" x14ac:dyDescent="0.3">
      <c r="A510" s="24" t="s">
        <v>23</v>
      </c>
      <c r="B510" s="24" t="s">
        <v>655</v>
      </c>
      <c r="C510" s="12" t="s">
        <v>738</v>
      </c>
      <c r="D510" s="54"/>
      <c r="E510" s="39" t="str">
        <f>HYPERLINK("https://www.google.ru/search?q=1385839-001&amp;newwindow=1&amp;tbm=isch","Еще фото")</f>
        <v>Еще фото</v>
      </c>
      <c r="F510" s="13" t="s">
        <v>98</v>
      </c>
      <c r="G510" s="24" t="s">
        <v>657</v>
      </c>
      <c r="H510" s="24" t="s">
        <v>27</v>
      </c>
      <c r="I510" s="24" t="s">
        <v>629</v>
      </c>
      <c r="J510" s="14" t="s">
        <v>29</v>
      </c>
      <c r="K510" s="15" t="s">
        <v>30</v>
      </c>
      <c r="L510" s="57"/>
      <c r="M510" s="14"/>
      <c r="N510" s="14" t="s">
        <v>33</v>
      </c>
      <c r="O510" s="14"/>
      <c r="P510" s="15" t="s">
        <v>540</v>
      </c>
      <c r="Q510" s="16">
        <v>32599</v>
      </c>
      <c r="R510" s="17">
        <v>40</v>
      </c>
      <c r="S510" s="18">
        <v>22493.31</v>
      </c>
      <c r="T510" s="19" t="s">
        <v>36</v>
      </c>
      <c r="U510" s="20" t="s">
        <v>41</v>
      </c>
      <c r="V510" s="21" t="s">
        <v>42</v>
      </c>
      <c r="W510" s="22">
        <v>24</v>
      </c>
      <c r="X510" s="23"/>
    </row>
    <row r="511" spans="1:24" s="1" customFormat="1" ht="26.1" customHeight="1" x14ac:dyDescent="0.3">
      <c r="A511" s="24" t="s">
        <v>23</v>
      </c>
      <c r="B511" s="24" t="s">
        <v>655</v>
      </c>
      <c r="C511" s="12" t="s">
        <v>738</v>
      </c>
      <c r="D511" s="54"/>
      <c r="E511" s="39" t="str">
        <f>HYPERLINK("https://www.google.ru/search?q=1385839-001&amp;newwindow=1&amp;tbm=isch","Еще фото")</f>
        <v>Еще фото</v>
      </c>
      <c r="F511" s="13" t="s">
        <v>98</v>
      </c>
      <c r="G511" s="24" t="s">
        <v>657</v>
      </c>
      <c r="H511" s="24" t="s">
        <v>27</v>
      </c>
      <c r="I511" s="24" t="s">
        <v>629</v>
      </c>
      <c r="J511" s="14" t="s">
        <v>29</v>
      </c>
      <c r="K511" s="15" t="s">
        <v>30</v>
      </c>
      <c r="L511" s="57"/>
      <c r="M511" s="14"/>
      <c r="N511" s="14" t="s">
        <v>33</v>
      </c>
      <c r="O511" s="14"/>
      <c r="P511" s="15" t="s">
        <v>540</v>
      </c>
      <c r="Q511" s="16">
        <v>32599</v>
      </c>
      <c r="R511" s="17">
        <v>40</v>
      </c>
      <c r="S511" s="18">
        <v>22493.31</v>
      </c>
      <c r="T511" s="19" t="s">
        <v>36</v>
      </c>
      <c r="U511" s="20" t="s">
        <v>43</v>
      </c>
      <c r="V511" s="21" t="s">
        <v>44</v>
      </c>
      <c r="W511" s="22">
        <v>10</v>
      </c>
      <c r="X511" s="23"/>
    </row>
    <row r="512" spans="1:24" s="1" customFormat="1" ht="26.1" customHeight="1" x14ac:dyDescent="0.3">
      <c r="A512" s="24" t="s">
        <v>23</v>
      </c>
      <c r="B512" s="24" t="s">
        <v>655</v>
      </c>
      <c r="C512" s="12" t="s">
        <v>738</v>
      </c>
      <c r="D512" s="55"/>
      <c r="E512" s="39" t="str">
        <f>HYPERLINK("https://www.google.ru/search?q=1385839-001&amp;newwindow=1&amp;tbm=isch","Еще фото")</f>
        <v>Еще фото</v>
      </c>
      <c r="F512" s="13" t="s">
        <v>98</v>
      </c>
      <c r="G512" s="24" t="s">
        <v>657</v>
      </c>
      <c r="H512" s="24" t="s">
        <v>27</v>
      </c>
      <c r="I512" s="24" t="s">
        <v>629</v>
      </c>
      <c r="J512" s="14" t="s">
        <v>29</v>
      </c>
      <c r="K512" s="15" t="s">
        <v>30</v>
      </c>
      <c r="L512" s="58"/>
      <c r="M512" s="14"/>
      <c r="N512" s="14" t="s">
        <v>33</v>
      </c>
      <c r="O512" s="14"/>
      <c r="P512" s="15" t="s">
        <v>540</v>
      </c>
      <c r="Q512" s="16">
        <v>32599</v>
      </c>
      <c r="R512" s="17">
        <v>40</v>
      </c>
      <c r="S512" s="18">
        <v>22493.31</v>
      </c>
      <c r="T512" s="19" t="s">
        <v>36</v>
      </c>
      <c r="U512" s="20" t="s">
        <v>104</v>
      </c>
      <c r="V512" s="21" t="s">
        <v>105</v>
      </c>
      <c r="W512" s="22">
        <v>1</v>
      </c>
      <c r="X512" s="23"/>
    </row>
    <row r="513" spans="1:24" s="1" customFormat="1" ht="51.95" customHeight="1" x14ac:dyDescent="0.3">
      <c r="A513" s="11" t="s">
        <v>23</v>
      </c>
      <c r="B513" s="11" t="s">
        <v>637</v>
      </c>
      <c r="C513" s="12" t="s">
        <v>739</v>
      </c>
      <c r="D513" s="59"/>
      <c r="E513" s="39" t="str">
        <f>HYPERLINK("https://www.google.ru/search?q=1385852-001&amp;newwindow=1&amp;tbm=isch","Еще фото")</f>
        <v>Еще фото</v>
      </c>
      <c r="F513" s="13"/>
      <c r="G513" s="11" t="s">
        <v>634</v>
      </c>
      <c r="H513" s="11" t="s">
        <v>27</v>
      </c>
      <c r="I513" s="14" t="s">
        <v>629</v>
      </c>
      <c r="J513" s="14" t="s">
        <v>29</v>
      </c>
      <c r="K513" s="15" t="s">
        <v>64</v>
      </c>
      <c r="L513" s="56" t="s">
        <v>639</v>
      </c>
      <c r="M513" s="14"/>
      <c r="N513" s="14" t="s">
        <v>33</v>
      </c>
      <c r="O513" s="14"/>
      <c r="P513" s="15" t="s">
        <v>492</v>
      </c>
      <c r="Q513" s="16">
        <v>27999</v>
      </c>
      <c r="R513" s="17">
        <v>40</v>
      </c>
      <c r="S513" s="18">
        <v>19319.310000000001</v>
      </c>
      <c r="T513" s="19" t="s">
        <v>36</v>
      </c>
      <c r="U513" s="20" t="s">
        <v>69</v>
      </c>
      <c r="V513" s="21" t="s">
        <v>70</v>
      </c>
      <c r="W513" s="22">
        <v>2</v>
      </c>
      <c r="X513" s="23"/>
    </row>
    <row r="514" spans="1:24" s="1" customFormat="1" ht="60.95" customHeight="1" x14ac:dyDescent="0.3">
      <c r="A514" s="24" t="s">
        <v>23</v>
      </c>
      <c r="B514" s="24" t="s">
        <v>637</v>
      </c>
      <c r="C514" s="12" t="s">
        <v>739</v>
      </c>
      <c r="D514" s="60"/>
      <c r="E514" s="39" t="str">
        <f>HYPERLINK("https://www.google.ru/search?q=1385852-001&amp;newwindow=1&amp;tbm=isch","Еще фото")</f>
        <v>Еще фото</v>
      </c>
      <c r="F514" s="13"/>
      <c r="G514" s="24" t="s">
        <v>634</v>
      </c>
      <c r="H514" s="24" t="s">
        <v>27</v>
      </c>
      <c r="I514" s="24" t="s">
        <v>629</v>
      </c>
      <c r="J514" s="14" t="s">
        <v>29</v>
      </c>
      <c r="K514" s="15" t="s">
        <v>64</v>
      </c>
      <c r="L514" s="58"/>
      <c r="M514" s="14"/>
      <c r="N514" s="14" t="s">
        <v>33</v>
      </c>
      <c r="O514" s="14"/>
      <c r="P514" s="15" t="s">
        <v>492</v>
      </c>
      <c r="Q514" s="16">
        <v>27999</v>
      </c>
      <c r="R514" s="17">
        <v>40</v>
      </c>
      <c r="S514" s="18">
        <v>19319.310000000001</v>
      </c>
      <c r="T514" s="19" t="s">
        <v>36</v>
      </c>
      <c r="U514" s="20" t="s">
        <v>37</v>
      </c>
      <c r="V514" s="21" t="s">
        <v>86</v>
      </c>
      <c r="W514" s="22">
        <v>4</v>
      </c>
      <c r="X514" s="23"/>
    </row>
    <row r="515" spans="1:24" s="1" customFormat="1" ht="21" customHeight="1" x14ac:dyDescent="0.3">
      <c r="A515" s="11" t="s">
        <v>23</v>
      </c>
      <c r="B515" s="11" t="s">
        <v>740</v>
      </c>
      <c r="C515" s="26" t="s">
        <v>741</v>
      </c>
      <c r="D515" s="53"/>
      <c r="E515" s="39" t="str">
        <f>HYPERLINK("https://www.google.ru/search?q=6004051-001&amp;newwindow=1&amp;tbm=isch","Еще фото")</f>
        <v>Еще фото</v>
      </c>
      <c r="F515" s="13" t="s">
        <v>98</v>
      </c>
      <c r="G515" s="11" t="s">
        <v>634</v>
      </c>
      <c r="H515" s="11" t="s">
        <v>27</v>
      </c>
      <c r="I515" s="14" t="s">
        <v>629</v>
      </c>
      <c r="J515" s="14" t="s">
        <v>506</v>
      </c>
      <c r="K515" s="15" t="s">
        <v>30</v>
      </c>
      <c r="L515" s="56" t="s">
        <v>742</v>
      </c>
      <c r="M515" s="14"/>
      <c r="N515" s="14" t="s">
        <v>33</v>
      </c>
      <c r="O515" s="14"/>
      <c r="P515" s="15" t="s">
        <v>743</v>
      </c>
      <c r="Q515" s="16">
        <v>15399</v>
      </c>
      <c r="R515" s="17">
        <v>40</v>
      </c>
      <c r="S515" s="18">
        <v>10625.31</v>
      </c>
      <c r="T515" s="19" t="s">
        <v>36</v>
      </c>
      <c r="U515" s="20" t="s">
        <v>37</v>
      </c>
      <c r="V515" s="21" t="s">
        <v>38</v>
      </c>
      <c r="W515" s="22">
        <v>11</v>
      </c>
      <c r="X515" s="23"/>
    </row>
    <row r="516" spans="1:24" s="1" customFormat="1" ht="21" customHeight="1" x14ac:dyDescent="0.3">
      <c r="A516" s="24" t="s">
        <v>23</v>
      </c>
      <c r="B516" s="24" t="s">
        <v>740</v>
      </c>
      <c r="C516" s="27" t="s">
        <v>741</v>
      </c>
      <c r="D516" s="54"/>
      <c r="E516" s="39" t="str">
        <f>HYPERLINK("https://www.google.ru/search?q=6004051-001&amp;newwindow=1&amp;tbm=isch","Еще фото")</f>
        <v>Еще фото</v>
      </c>
      <c r="F516" s="13" t="s">
        <v>98</v>
      </c>
      <c r="G516" s="24" t="s">
        <v>634</v>
      </c>
      <c r="H516" s="24" t="s">
        <v>27</v>
      </c>
      <c r="I516" s="24" t="s">
        <v>629</v>
      </c>
      <c r="J516" s="14" t="s">
        <v>506</v>
      </c>
      <c r="K516" s="15" t="s">
        <v>30</v>
      </c>
      <c r="L516" s="57"/>
      <c r="M516" s="14"/>
      <c r="N516" s="14" t="s">
        <v>33</v>
      </c>
      <c r="O516" s="14"/>
      <c r="P516" s="15" t="s">
        <v>743</v>
      </c>
      <c r="Q516" s="16">
        <v>15399</v>
      </c>
      <c r="R516" s="17">
        <v>40</v>
      </c>
      <c r="S516" s="18">
        <v>10625.31</v>
      </c>
      <c r="T516" s="19" t="s">
        <v>36</v>
      </c>
      <c r="U516" s="20" t="s">
        <v>39</v>
      </c>
      <c r="V516" s="21" t="s">
        <v>40</v>
      </c>
      <c r="W516" s="22">
        <v>22</v>
      </c>
      <c r="X516" s="23"/>
    </row>
    <row r="517" spans="1:24" s="1" customFormat="1" ht="21" customHeight="1" x14ac:dyDescent="0.3">
      <c r="A517" s="24" t="s">
        <v>23</v>
      </c>
      <c r="B517" s="24" t="s">
        <v>740</v>
      </c>
      <c r="C517" s="27" t="s">
        <v>741</v>
      </c>
      <c r="D517" s="54"/>
      <c r="E517" s="39" t="str">
        <f>HYPERLINK("https://www.google.ru/search?q=6004051-001&amp;newwindow=1&amp;tbm=isch","Еще фото")</f>
        <v>Еще фото</v>
      </c>
      <c r="F517" s="13" t="s">
        <v>98</v>
      </c>
      <c r="G517" s="24" t="s">
        <v>634</v>
      </c>
      <c r="H517" s="24" t="s">
        <v>27</v>
      </c>
      <c r="I517" s="24" t="s">
        <v>629</v>
      </c>
      <c r="J517" s="14" t="s">
        <v>506</v>
      </c>
      <c r="K517" s="15" t="s">
        <v>30</v>
      </c>
      <c r="L517" s="57"/>
      <c r="M517" s="14"/>
      <c r="N517" s="14" t="s">
        <v>33</v>
      </c>
      <c r="O517" s="14"/>
      <c r="P517" s="15" t="s">
        <v>743</v>
      </c>
      <c r="Q517" s="16">
        <v>15399</v>
      </c>
      <c r="R517" s="17">
        <v>40</v>
      </c>
      <c r="S517" s="18">
        <v>10625.31</v>
      </c>
      <c r="T517" s="19" t="s">
        <v>36</v>
      </c>
      <c r="U517" s="20" t="s">
        <v>41</v>
      </c>
      <c r="V517" s="21" t="s">
        <v>42</v>
      </c>
      <c r="W517" s="22">
        <v>5</v>
      </c>
      <c r="X517" s="23"/>
    </row>
    <row r="518" spans="1:24" s="1" customFormat="1" ht="21" customHeight="1" x14ac:dyDescent="0.3">
      <c r="A518" s="24" t="s">
        <v>23</v>
      </c>
      <c r="B518" s="24" t="s">
        <v>740</v>
      </c>
      <c r="C518" s="27" t="s">
        <v>741</v>
      </c>
      <c r="D518" s="54"/>
      <c r="E518" s="39" t="str">
        <f>HYPERLINK("https://www.google.ru/search?q=6004051-001&amp;newwindow=1&amp;tbm=isch","Еще фото")</f>
        <v>Еще фото</v>
      </c>
      <c r="F518" s="13" t="s">
        <v>98</v>
      </c>
      <c r="G518" s="24" t="s">
        <v>634</v>
      </c>
      <c r="H518" s="24" t="s">
        <v>27</v>
      </c>
      <c r="I518" s="24" t="s">
        <v>629</v>
      </c>
      <c r="J518" s="14" t="s">
        <v>506</v>
      </c>
      <c r="K518" s="15" t="s">
        <v>30</v>
      </c>
      <c r="L518" s="57"/>
      <c r="M518" s="14"/>
      <c r="N518" s="14" t="s">
        <v>33</v>
      </c>
      <c r="O518" s="14"/>
      <c r="P518" s="15" t="s">
        <v>743</v>
      </c>
      <c r="Q518" s="16">
        <v>15399</v>
      </c>
      <c r="R518" s="17">
        <v>40</v>
      </c>
      <c r="S518" s="18">
        <v>10625.31</v>
      </c>
      <c r="T518" s="19" t="s">
        <v>36</v>
      </c>
      <c r="U518" s="20" t="s">
        <v>43</v>
      </c>
      <c r="V518" s="21" t="s">
        <v>44</v>
      </c>
      <c r="W518" s="22">
        <v>3</v>
      </c>
      <c r="X518" s="23"/>
    </row>
    <row r="519" spans="1:24" s="1" customFormat="1" ht="32.1" customHeight="1" x14ac:dyDescent="0.3">
      <c r="A519" s="24" t="s">
        <v>23</v>
      </c>
      <c r="B519" s="24" t="s">
        <v>740</v>
      </c>
      <c r="C519" s="27" t="s">
        <v>741</v>
      </c>
      <c r="D519" s="55"/>
      <c r="E519" s="39" t="str">
        <f>HYPERLINK("https://www.google.ru/search?q=6004051-001&amp;newwindow=1&amp;tbm=isch","Еще фото")</f>
        <v>Еще фото</v>
      </c>
      <c r="F519" s="13" t="s">
        <v>98</v>
      </c>
      <c r="G519" s="24" t="s">
        <v>634</v>
      </c>
      <c r="H519" s="24" t="s">
        <v>27</v>
      </c>
      <c r="I519" s="24" t="s">
        <v>629</v>
      </c>
      <c r="J519" s="14" t="s">
        <v>506</v>
      </c>
      <c r="K519" s="15" t="s">
        <v>30</v>
      </c>
      <c r="L519" s="58"/>
      <c r="M519" s="14"/>
      <c r="N519" s="14" t="s">
        <v>33</v>
      </c>
      <c r="O519" s="14"/>
      <c r="P519" s="15" t="s">
        <v>743</v>
      </c>
      <c r="Q519" s="16">
        <v>15399</v>
      </c>
      <c r="R519" s="17">
        <v>40</v>
      </c>
      <c r="S519" s="18">
        <v>10625.31</v>
      </c>
      <c r="T519" s="19" t="s">
        <v>36</v>
      </c>
      <c r="U519" s="20" t="s">
        <v>104</v>
      </c>
      <c r="V519" s="21" t="s">
        <v>105</v>
      </c>
      <c r="W519" s="22">
        <v>2</v>
      </c>
      <c r="X519" s="23"/>
    </row>
    <row r="520" spans="1:24" s="1" customFormat="1" ht="26.1" customHeight="1" x14ac:dyDescent="0.3">
      <c r="A520" s="11" t="s">
        <v>23</v>
      </c>
      <c r="B520" s="11" t="s">
        <v>744</v>
      </c>
      <c r="C520" s="12" t="s">
        <v>745</v>
      </c>
      <c r="D520" s="53"/>
      <c r="E520" s="39" t="str">
        <f>HYPERLINK("https://www.google.ru/search?q=6006363-001&amp;newwindow=1&amp;tbm=isch","Еще фото")</f>
        <v>Еще фото</v>
      </c>
      <c r="F520" s="13" t="s">
        <v>98</v>
      </c>
      <c r="G520" s="11" t="s">
        <v>634</v>
      </c>
      <c r="H520" s="11" t="s">
        <v>27</v>
      </c>
      <c r="I520" s="14" t="s">
        <v>629</v>
      </c>
      <c r="J520" s="14" t="s">
        <v>47</v>
      </c>
      <c r="K520" s="15" t="s">
        <v>30</v>
      </c>
      <c r="L520" s="56" t="s">
        <v>746</v>
      </c>
      <c r="M520" s="14"/>
      <c r="N520" s="14" t="s">
        <v>33</v>
      </c>
      <c r="O520" s="14"/>
      <c r="P520" s="15" t="s">
        <v>540</v>
      </c>
      <c r="Q520" s="16">
        <v>19699</v>
      </c>
      <c r="R520" s="17">
        <v>40</v>
      </c>
      <c r="S520" s="18">
        <v>13592.309999999998</v>
      </c>
      <c r="T520" s="19" t="s">
        <v>36</v>
      </c>
      <c r="U520" s="20" t="s">
        <v>37</v>
      </c>
      <c r="V520" s="21" t="s">
        <v>38</v>
      </c>
      <c r="W520" s="22">
        <v>11</v>
      </c>
      <c r="X520" s="23"/>
    </row>
    <row r="521" spans="1:24" s="1" customFormat="1" ht="26.1" customHeight="1" x14ac:dyDescent="0.3">
      <c r="A521" s="24" t="s">
        <v>23</v>
      </c>
      <c r="B521" s="24" t="s">
        <v>744</v>
      </c>
      <c r="C521" s="12" t="s">
        <v>745</v>
      </c>
      <c r="D521" s="54"/>
      <c r="E521" s="39" t="str">
        <f>HYPERLINK("https://www.google.ru/search?q=6006363-001&amp;newwindow=1&amp;tbm=isch","Еще фото")</f>
        <v>Еще фото</v>
      </c>
      <c r="F521" s="13" t="s">
        <v>98</v>
      </c>
      <c r="G521" s="24" t="s">
        <v>634</v>
      </c>
      <c r="H521" s="24" t="s">
        <v>27</v>
      </c>
      <c r="I521" s="24" t="s">
        <v>629</v>
      </c>
      <c r="J521" s="14" t="s">
        <v>47</v>
      </c>
      <c r="K521" s="15" t="s">
        <v>30</v>
      </c>
      <c r="L521" s="57"/>
      <c r="M521" s="14"/>
      <c r="N521" s="14" t="s">
        <v>33</v>
      </c>
      <c r="O521" s="14"/>
      <c r="P521" s="15" t="s">
        <v>540</v>
      </c>
      <c r="Q521" s="16">
        <v>19699</v>
      </c>
      <c r="R521" s="17">
        <v>40</v>
      </c>
      <c r="S521" s="18">
        <v>13592.309999999998</v>
      </c>
      <c r="T521" s="19" t="s">
        <v>36</v>
      </c>
      <c r="U521" s="20" t="s">
        <v>39</v>
      </c>
      <c r="V521" s="21" t="s">
        <v>40</v>
      </c>
      <c r="W521" s="22">
        <v>13</v>
      </c>
      <c r="X521" s="23"/>
    </row>
    <row r="522" spans="1:24" s="1" customFormat="1" ht="26.1" customHeight="1" x14ac:dyDescent="0.3">
      <c r="A522" s="24" t="s">
        <v>23</v>
      </c>
      <c r="B522" s="24" t="s">
        <v>744</v>
      </c>
      <c r="C522" s="12" t="s">
        <v>745</v>
      </c>
      <c r="D522" s="54"/>
      <c r="E522" s="39" t="str">
        <f>HYPERLINK("https://www.google.ru/search?q=6006363-001&amp;newwindow=1&amp;tbm=isch","Еще фото")</f>
        <v>Еще фото</v>
      </c>
      <c r="F522" s="13" t="s">
        <v>98</v>
      </c>
      <c r="G522" s="24" t="s">
        <v>634</v>
      </c>
      <c r="H522" s="24" t="s">
        <v>27</v>
      </c>
      <c r="I522" s="24" t="s">
        <v>629</v>
      </c>
      <c r="J522" s="14" t="s">
        <v>47</v>
      </c>
      <c r="K522" s="15" t="s">
        <v>30</v>
      </c>
      <c r="L522" s="57"/>
      <c r="M522" s="14"/>
      <c r="N522" s="14" t="s">
        <v>33</v>
      </c>
      <c r="O522" s="14"/>
      <c r="P522" s="15" t="s">
        <v>540</v>
      </c>
      <c r="Q522" s="16">
        <v>19699</v>
      </c>
      <c r="R522" s="17">
        <v>40</v>
      </c>
      <c r="S522" s="18">
        <v>13592.309999999998</v>
      </c>
      <c r="T522" s="19" t="s">
        <v>36</v>
      </c>
      <c r="U522" s="20" t="s">
        <v>41</v>
      </c>
      <c r="V522" s="21" t="s">
        <v>42</v>
      </c>
      <c r="W522" s="22">
        <v>7</v>
      </c>
      <c r="X522" s="23"/>
    </row>
    <row r="523" spans="1:24" s="1" customFormat="1" ht="26.1" customHeight="1" x14ac:dyDescent="0.3">
      <c r="A523" s="24" t="s">
        <v>23</v>
      </c>
      <c r="B523" s="24" t="s">
        <v>744</v>
      </c>
      <c r="C523" s="12" t="s">
        <v>745</v>
      </c>
      <c r="D523" s="55"/>
      <c r="E523" s="39" t="str">
        <f>HYPERLINK("https://www.google.ru/search?q=6006363-001&amp;newwindow=1&amp;tbm=isch","Еще фото")</f>
        <v>Еще фото</v>
      </c>
      <c r="F523" s="13" t="s">
        <v>98</v>
      </c>
      <c r="G523" s="24" t="s">
        <v>634</v>
      </c>
      <c r="H523" s="24" t="s">
        <v>27</v>
      </c>
      <c r="I523" s="24" t="s">
        <v>629</v>
      </c>
      <c r="J523" s="14" t="s">
        <v>47</v>
      </c>
      <c r="K523" s="15" t="s">
        <v>30</v>
      </c>
      <c r="L523" s="58"/>
      <c r="M523" s="14"/>
      <c r="N523" s="14" t="s">
        <v>33</v>
      </c>
      <c r="O523" s="14"/>
      <c r="P523" s="15" t="s">
        <v>540</v>
      </c>
      <c r="Q523" s="16">
        <v>19699</v>
      </c>
      <c r="R523" s="17">
        <v>40</v>
      </c>
      <c r="S523" s="18">
        <v>13592.309999999998</v>
      </c>
      <c r="T523" s="19" t="s">
        <v>36</v>
      </c>
      <c r="U523" s="20" t="s">
        <v>43</v>
      </c>
      <c r="V523" s="21" t="s">
        <v>44</v>
      </c>
      <c r="W523" s="22">
        <v>1</v>
      </c>
      <c r="X523" s="23"/>
    </row>
    <row r="524" spans="1:24" s="1" customFormat="1" ht="21" customHeight="1" x14ac:dyDescent="0.3">
      <c r="A524" s="11" t="s">
        <v>23</v>
      </c>
      <c r="B524" s="11" t="s">
        <v>747</v>
      </c>
      <c r="C524" s="26" t="s">
        <v>748</v>
      </c>
      <c r="D524" s="53"/>
      <c r="E524" s="39" t="str">
        <f>HYPERLINK("https://www.google.ru/search?q=6009688-008&amp;newwindow=1&amp;tbm=isch","Еще фото")</f>
        <v>Еще фото</v>
      </c>
      <c r="F524" s="13" t="s">
        <v>98</v>
      </c>
      <c r="G524" s="11" t="s">
        <v>634</v>
      </c>
      <c r="H524" s="11" t="s">
        <v>27</v>
      </c>
      <c r="I524" s="14" t="s">
        <v>629</v>
      </c>
      <c r="J524" s="14" t="s">
        <v>47</v>
      </c>
      <c r="K524" s="15" t="s">
        <v>64</v>
      </c>
      <c r="L524" s="56" t="s">
        <v>749</v>
      </c>
      <c r="M524" s="14"/>
      <c r="N524" s="14" t="s">
        <v>33</v>
      </c>
      <c r="O524" s="14"/>
      <c r="P524" s="15" t="s">
        <v>750</v>
      </c>
      <c r="Q524" s="16">
        <v>12199</v>
      </c>
      <c r="R524" s="17">
        <v>40</v>
      </c>
      <c r="S524" s="18">
        <v>8417.31</v>
      </c>
      <c r="T524" s="19" t="s">
        <v>36</v>
      </c>
      <c r="U524" s="20" t="s">
        <v>69</v>
      </c>
      <c r="V524" s="21" t="s">
        <v>70</v>
      </c>
      <c r="W524" s="22">
        <v>21</v>
      </c>
      <c r="X524" s="23"/>
    </row>
    <row r="525" spans="1:24" s="1" customFormat="1" ht="21" customHeight="1" x14ac:dyDescent="0.3">
      <c r="A525" s="24" t="s">
        <v>23</v>
      </c>
      <c r="B525" s="24" t="s">
        <v>747</v>
      </c>
      <c r="C525" s="27" t="s">
        <v>748</v>
      </c>
      <c r="D525" s="54"/>
      <c r="E525" s="39" t="str">
        <f>HYPERLINK("https://www.google.ru/search?q=6009688-008&amp;newwindow=1&amp;tbm=isch","Еще фото")</f>
        <v>Еще фото</v>
      </c>
      <c r="F525" s="13" t="s">
        <v>98</v>
      </c>
      <c r="G525" s="24" t="s">
        <v>634</v>
      </c>
      <c r="H525" s="24" t="s">
        <v>27</v>
      </c>
      <c r="I525" s="24" t="s">
        <v>629</v>
      </c>
      <c r="J525" s="14" t="s">
        <v>47</v>
      </c>
      <c r="K525" s="15" t="s">
        <v>64</v>
      </c>
      <c r="L525" s="57"/>
      <c r="M525" s="14"/>
      <c r="N525" s="14" t="s">
        <v>33</v>
      </c>
      <c r="O525" s="14"/>
      <c r="P525" s="15" t="s">
        <v>750</v>
      </c>
      <c r="Q525" s="16">
        <v>12199</v>
      </c>
      <c r="R525" s="17">
        <v>40</v>
      </c>
      <c r="S525" s="18">
        <v>8417.31</v>
      </c>
      <c r="T525" s="19" t="s">
        <v>36</v>
      </c>
      <c r="U525" s="20" t="s">
        <v>37</v>
      </c>
      <c r="V525" s="21" t="s">
        <v>86</v>
      </c>
      <c r="W525" s="22">
        <v>30</v>
      </c>
      <c r="X525" s="23"/>
    </row>
    <row r="526" spans="1:24" s="1" customFormat="1" ht="21" customHeight="1" x14ac:dyDescent="0.3">
      <c r="A526" s="24" t="s">
        <v>23</v>
      </c>
      <c r="B526" s="24" t="s">
        <v>747</v>
      </c>
      <c r="C526" s="27" t="s">
        <v>748</v>
      </c>
      <c r="D526" s="54"/>
      <c r="E526" s="39" t="str">
        <f>HYPERLINK("https://www.google.ru/search?q=6009688-008&amp;newwindow=1&amp;tbm=isch","Еще фото")</f>
        <v>Еще фото</v>
      </c>
      <c r="F526" s="13" t="s">
        <v>98</v>
      </c>
      <c r="G526" s="24" t="s">
        <v>634</v>
      </c>
      <c r="H526" s="24" t="s">
        <v>27</v>
      </c>
      <c r="I526" s="24" t="s">
        <v>629</v>
      </c>
      <c r="J526" s="14" t="s">
        <v>47</v>
      </c>
      <c r="K526" s="15" t="s">
        <v>64</v>
      </c>
      <c r="L526" s="57"/>
      <c r="M526" s="14"/>
      <c r="N526" s="14" t="s">
        <v>33</v>
      </c>
      <c r="O526" s="14"/>
      <c r="P526" s="15" t="s">
        <v>750</v>
      </c>
      <c r="Q526" s="16">
        <v>12199</v>
      </c>
      <c r="R526" s="17">
        <v>40</v>
      </c>
      <c r="S526" s="18">
        <v>8417.31</v>
      </c>
      <c r="T526" s="19" t="s">
        <v>36</v>
      </c>
      <c r="U526" s="20" t="s">
        <v>39</v>
      </c>
      <c r="V526" s="21" t="s">
        <v>38</v>
      </c>
      <c r="W526" s="22">
        <v>27</v>
      </c>
      <c r="X526" s="23"/>
    </row>
    <row r="527" spans="1:24" s="1" customFormat="1" ht="21" customHeight="1" x14ac:dyDescent="0.3">
      <c r="A527" s="24" t="s">
        <v>23</v>
      </c>
      <c r="B527" s="24" t="s">
        <v>747</v>
      </c>
      <c r="C527" s="27" t="s">
        <v>748</v>
      </c>
      <c r="D527" s="54"/>
      <c r="E527" s="39" t="str">
        <f>HYPERLINK("https://www.google.ru/search?q=6009688-008&amp;newwindow=1&amp;tbm=isch","Еще фото")</f>
        <v>Еще фото</v>
      </c>
      <c r="F527" s="13" t="s">
        <v>98</v>
      </c>
      <c r="G527" s="24" t="s">
        <v>634</v>
      </c>
      <c r="H527" s="24" t="s">
        <v>27</v>
      </c>
      <c r="I527" s="24" t="s">
        <v>629</v>
      </c>
      <c r="J527" s="14" t="s">
        <v>47</v>
      </c>
      <c r="K527" s="15" t="s">
        <v>64</v>
      </c>
      <c r="L527" s="57"/>
      <c r="M527" s="14"/>
      <c r="N527" s="14" t="s">
        <v>33</v>
      </c>
      <c r="O527" s="14"/>
      <c r="P527" s="15" t="s">
        <v>750</v>
      </c>
      <c r="Q527" s="16">
        <v>12199</v>
      </c>
      <c r="R527" s="17">
        <v>40</v>
      </c>
      <c r="S527" s="18">
        <v>8417.31</v>
      </c>
      <c r="T527" s="19" t="s">
        <v>36</v>
      </c>
      <c r="U527" s="20" t="s">
        <v>41</v>
      </c>
      <c r="V527" s="21" t="s">
        <v>40</v>
      </c>
      <c r="W527" s="22">
        <v>17</v>
      </c>
      <c r="X527" s="23"/>
    </row>
    <row r="528" spans="1:24" s="1" customFormat="1" ht="32.1" customHeight="1" x14ac:dyDescent="0.3">
      <c r="A528" s="24" t="s">
        <v>23</v>
      </c>
      <c r="B528" s="24" t="s">
        <v>747</v>
      </c>
      <c r="C528" s="27" t="s">
        <v>748</v>
      </c>
      <c r="D528" s="55"/>
      <c r="E528" s="39" t="str">
        <f>HYPERLINK("https://www.google.ru/search?q=6009688-008&amp;newwindow=1&amp;tbm=isch","Еще фото")</f>
        <v>Еще фото</v>
      </c>
      <c r="F528" s="13" t="s">
        <v>98</v>
      </c>
      <c r="G528" s="24" t="s">
        <v>634</v>
      </c>
      <c r="H528" s="24" t="s">
        <v>27</v>
      </c>
      <c r="I528" s="24" t="s">
        <v>629</v>
      </c>
      <c r="J528" s="14" t="s">
        <v>47</v>
      </c>
      <c r="K528" s="15" t="s">
        <v>64</v>
      </c>
      <c r="L528" s="58"/>
      <c r="M528" s="14"/>
      <c r="N528" s="14" t="s">
        <v>33</v>
      </c>
      <c r="O528" s="14"/>
      <c r="P528" s="15" t="s">
        <v>750</v>
      </c>
      <c r="Q528" s="16">
        <v>12199</v>
      </c>
      <c r="R528" s="17">
        <v>40</v>
      </c>
      <c r="S528" s="18">
        <v>8417.31</v>
      </c>
      <c r="T528" s="19" t="s">
        <v>36</v>
      </c>
      <c r="U528" s="20" t="s">
        <v>43</v>
      </c>
      <c r="V528" s="21" t="s">
        <v>42</v>
      </c>
      <c r="W528" s="22">
        <v>5</v>
      </c>
      <c r="X528" s="23"/>
    </row>
    <row r="529" spans="1:24" s="1" customFormat="1" ht="108" customHeight="1" x14ac:dyDescent="0.3">
      <c r="A529" s="11" t="s">
        <v>23</v>
      </c>
      <c r="B529" s="11" t="s">
        <v>751</v>
      </c>
      <c r="C529" s="12" t="s">
        <v>752</v>
      </c>
      <c r="D529" s="25"/>
      <c r="E529" s="39" t="str">
        <f>HYPERLINK("https://www.google.ru/search?q=1383897-001&amp;newwindow=1&amp;tbm=isch","Еще фото")</f>
        <v>Еще фото</v>
      </c>
      <c r="F529" s="13"/>
      <c r="G529" s="11" t="s">
        <v>753</v>
      </c>
      <c r="H529" s="11" t="s">
        <v>27</v>
      </c>
      <c r="I529" s="14" t="s">
        <v>754</v>
      </c>
      <c r="J529" s="14" t="s">
        <v>29</v>
      </c>
      <c r="K529" s="15" t="s">
        <v>64</v>
      </c>
      <c r="L529" s="14" t="s">
        <v>755</v>
      </c>
      <c r="M529" s="14"/>
      <c r="N529" s="14" t="s">
        <v>33</v>
      </c>
      <c r="O529" s="14"/>
      <c r="P529" s="15" t="s">
        <v>756</v>
      </c>
      <c r="Q529" s="16">
        <v>3599</v>
      </c>
      <c r="R529" s="17">
        <v>47.21</v>
      </c>
      <c r="S529" s="18">
        <v>2184.9884999999999</v>
      </c>
      <c r="T529" s="19" t="s">
        <v>36</v>
      </c>
      <c r="U529" s="20" t="s">
        <v>69</v>
      </c>
      <c r="V529" s="21" t="s">
        <v>70</v>
      </c>
      <c r="W529" s="22">
        <v>12</v>
      </c>
      <c r="X529" s="23"/>
    </row>
    <row r="530" spans="1:24" s="1" customFormat="1" ht="108" customHeight="1" x14ac:dyDescent="0.3">
      <c r="A530" s="11" t="s">
        <v>23</v>
      </c>
      <c r="B530" s="11" t="s">
        <v>757</v>
      </c>
      <c r="C530" s="12" t="s">
        <v>758</v>
      </c>
      <c r="D530" s="25"/>
      <c r="E530" s="39" t="str">
        <f>HYPERLINK("https://www.google.ru/search?q=1383878-400&amp;newwindow=1&amp;tbm=isch","Еще фото")</f>
        <v>Еще фото</v>
      </c>
      <c r="F530" s="13"/>
      <c r="G530" s="11" t="s">
        <v>753</v>
      </c>
      <c r="H530" s="11" t="s">
        <v>27</v>
      </c>
      <c r="I530" s="14" t="s">
        <v>754</v>
      </c>
      <c r="J530" s="14" t="s">
        <v>29</v>
      </c>
      <c r="K530" s="15" t="s">
        <v>30</v>
      </c>
      <c r="L530" s="14" t="s">
        <v>759</v>
      </c>
      <c r="M530" s="14"/>
      <c r="N530" s="14" t="s">
        <v>705</v>
      </c>
      <c r="O530" s="14"/>
      <c r="P530" s="15" t="s">
        <v>185</v>
      </c>
      <c r="Q530" s="16">
        <v>5599</v>
      </c>
      <c r="R530" s="17">
        <v>46.42</v>
      </c>
      <c r="S530" s="18">
        <v>3449.9884999999995</v>
      </c>
      <c r="T530" s="19" t="s">
        <v>36</v>
      </c>
      <c r="U530" s="20" t="s">
        <v>37</v>
      </c>
      <c r="V530" s="21" t="s">
        <v>38</v>
      </c>
      <c r="W530" s="22">
        <v>1</v>
      </c>
      <c r="X530" s="23"/>
    </row>
    <row r="531" spans="1:24" s="1" customFormat="1" ht="108" customHeight="1" x14ac:dyDescent="0.3">
      <c r="A531" s="11" t="s">
        <v>23</v>
      </c>
      <c r="B531" s="11" t="s">
        <v>760</v>
      </c>
      <c r="C531" s="12" t="s">
        <v>761</v>
      </c>
      <c r="D531" s="25"/>
      <c r="E531" s="39" t="str">
        <f>HYPERLINK("https://www.google.ru/search?q=1383889-025&amp;newwindow=1&amp;tbm=isch","Еще фото")</f>
        <v>Еще фото</v>
      </c>
      <c r="F531" s="13"/>
      <c r="G531" s="11" t="s">
        <v>753</v>
      </c>
      <c r="H531" s="11" t="s">
        <v>27</v>
      </c>
      <c r="I531" s="14" t="s">
        <v>754</v>
      </c>
      <c r="J531" s="14" t="s">
        <v>29</v>
      </c>
      <c r="K531" s="15" t="s">
        <v>30</v>
      </c>
      <c r="L531" s="14" t="s">
        <v>762</v>
      </c>
      <c r="M531" s="14"/>
      <c r="N531" s="14" t="s">
        <v>763</v>
      </c>
      <c r="O531" s="14"/>
      <c r="P531" s="15" t="s">
        <v>764</v>
      </c>
      <c r="Q531" s="16">
        <v>6599</v>
      </c>
      <c r="R531" s="17">
        <v>45.45</v>
      </c>
      <c r="S531" s="18">
        <v>4139.9884999999995</v>
      </c>
      <c r="T531" s="19" t="s">
        <v>36</v>
      </c>
      <c r="U531" s="20" t="s">
        <v>37</v>
      </c>
      <c r="V531" s="21" t="s">
        <v>38</v>
      </c>
      <c r="W531" s="22">
        <v>16</v>
      </c>
      <c r="X531" s="23"/>
    </row>
    <row r="532" spans="1:24" s="1" customFormat="1" ht="108" customHeight="1" x14ac:dyDescent="0.3">
      <c r="A532" s="11" t="s">
        <v>23</v>
      </c>
      <c r="B532" s="11" t="s">
        <v>757</v>
      </c>
      <c r="C532" s="12" t="s">
        <v>765</v>
      </c>
      <c r="D532" s="25"/>
      <c r="E532" s="39" t="str">
        <f>HYPERLINK("https://www.google.ru/search?q=1383878-035&amp;newwindow=1&amp;tbm=isch","Еще фото")</f>
        <v>Еще фото</v>
      </c>
      <c r="F532" s="13"/>
      <c r="G532" s="11" t="s">
        <v>753</v>
      </c>
      <c r="H532" s="11" t="s">
        <v>27</v>
      </c>
      <c r="I532" s="14" t="s">
        <v>754</v>
      </c>
      <c r="J532" s="14" t="s">
        <v>29</v>
      </c>
      <c r="K532" s="15" t="s">
        <v>30</v>
      </c>
      <c r="L532" s="14" t="s">
        <v>766</v>
      </c>
      <c r="M532" s="14"/>
      <c r="N532" s="14" t="s">
        <v>166</v>
      </c>
      <c r="O532" s="14"/>
      <c r="P532" s="15" t="s">
        <v>269</v>
      </c>
      <c r="Q532" s="16">
        <v>5599</v>
      </c>
      <c r="R532" s="17">
        <v>40</v>
      </c>
      <c r="S532" s="18">
        <v>3863.31</v>
      </c>
      <c r="T532" s="19" t="s">
        <v>36</v>
      </c>
      <c r="U532" s="20" t="s">
        <v>37</v>
      </c>
      <c r="V532" s="21" t="s">
        <v>38</v>
      </c>
      <c r="W532" s="22">
        <v>1</v>
      </c>
      <c r="X532" s="23"/>
    </row>
    <row r="533" spans="1:24" s="1" customFormat="1" ht="108" customHeight="1" x14ac:dyDescent="0.3">
      <c r="A533" s="11" t="s">
        <v>23</v>
      </c>
      <c r="B533" s="11" t="s">
        <v>767</v>
      </c>
      <c r="C533" s="12" t="s">
        <v>768</v>
      </c>
      <c r="D533" s="25"/>
      <c r="E533" s="39" t="str">
        <f>HYPERLINK("https://www.google.ru/search?q=1383878-044&amp;newwindow=1&amp;tbm=isch","Еще фото")</f>
        <v>Еще фото</v>
      </c>
      <c r="F533" s="13"/>
      <c r="G533" s="11" t="s">
        <v>753</v>
      </c>
      <c r="H533" s="11" t="s">
        <v>27</v>
      </c>
      <c r="I533" s="14" t="s">
        <v>754</v>
      </c>
      <c r="J533" s="14" t="s">
        <v>29</v>
      </c>
      <c r="K533" s="15" t="s">
        <v>30</v>
      </c>
      <c r="L533" s="14"/>
      <c r="M533" s="14"/>
      <c r="N533" s="14" t="s">
        <v>769</v>
      </c>
      <c r="O533" s="14"/>
      <c r="P533" s="15" t="s">
        <v>269</v>
      </c>
      <c r="Q533" s="16">
        <v>5599</v>
      </c>
      <c r="R533" s="17">
        <v>40</v>
      </c>
      <c r="S533" s="18">
        <v>3863.31</v>
      </c>
      <c r="T533" s="19" t="s">
        <v>36</v>
      </c>
      <c r="U533" s="20" t="s">
        <v>41</v>
      </c>
      <c r="V533" s="21" t="s">
        <v>42</v>
      </c>
      <c r="W533" s="22">
        <v>1</v>
      </c>
      <c r="X533" s="23"/>
    </row>
    <row r="534" spans="1:24" s="1" customFormat="1" ht="108" customHeight="1" x14ac:dyDescent="0.3">
      <c r="A534" s="11" t="s">
        <v>23</v>
      </c>
      <c r="B534" s="11" t="s">
        <v>760</v>
      </c>
      <c r="C534" s="12" t="s">
        <v>770</v>
      </c>
      <c r="D534" s="25"/>
      <c r="E534" s="39" t="str">
        <f>HYPERLINK("https://www.google.ru/search?q=1383889-001&amp;newwindow=1&amp;tbm=isch","Еще фото")</f>
        <v>Еще фото</v>
      </c>
      <c r="F534" s="13" t="s">
        <v>98</v>
      </c>
      <c r="G534" s="11" t="s">
        <v>753</v>
      </c>
      <c r="H534" s="11" t="s">
        <v>27</v>
      </c>
      <c r="I534" s="14" t="s">
        <v>754</v>
      </c>
      <c r="J534" s="14" t="s">
        <v>29</v>
      </c>
      <c r="K534" s="15" t="s">
        <v>30</v>
      </c>
      <c r="L534" s="14" t="s">
        <v>762</v>
      </c>
      <c r="M534" s="14"/>
      <c r="N534" s="14" t="s">
        <v>33</v>
      </c>
      <c r="O534" s="14"/>
      <c r="P534" s="15" t="s">
        <v>764</v>
      </c>
      <c r="Q534" s="16">
        <v>6599</v>
      </c>
      <c r="R534" s="17">
        <v>40</v>
      </c>
      <c r="S534" s="18">
        <v>4553.3099999999995</v>
      </c>
      <c r="T534" s="19" t="s">
        <v>36</v>
      </c>
      <c r="U534" s="20" t="s">
        <v>37</v>
      </c>
      <c r="V534" s="21" t="s">
        <v>38</v>
      </c>
      <c r="W534" s="22">
        <v>5</v>
      </c>
      <c r="X534" s="23"/>
    </row>
    <row r="535" spans="1:24" s="1" customFormat="1" ht="108" customHeight="1" x14ac:dyDescent="0.3">
      <c r="A535" s="11" t="s">
        <v>23</v>
      </c>
      <c r="B535" s="11" t="s">
        <v>771</v>
      </c>
      <c r="C535" s="12" t="s">
        <v>772</v>
      </c>
      <c r="D535" s="25"/>
      <c r="E535" s="39" t="str">
        <f>HYPERLINK("https://www.google.ru/search?q=1383889-005&amp;newwindow=1&amp;tbm=isch","Еще фото")</f>
        <v>Еще фото</v>
      </c>
      <c r="F535" s="13" t="s">
        <v>98</v>
      </c>
      <c r="G535" s="11" t="s">
        <v>753</v>
      </c>
      <c r="H535" s="11" t="s">
        <v>27</v>
      </c>
      <c r="I535" s="14" t="s">
        <v>754</v>
      </c>
      <c r="J535" s="14" t="s">
        <v>29</v>
      </c>
      <c r="K535" s="15" t="s">
        <v>30</v>
      </c>
      <c r="L535" s="14" t="s">
        <v>762</v>
      </c>
      <c r="M535" s="14"/>
      <c r="N535" s="14" t="s">
        <v>33</v>
      </c>
      <c r="O535" s="14"/>
      <c r="P535" s="15" t="s">
        <v>764</v>
      </c>
      <c r="Q535" s="16">
        <v>6599</v>
      </c>
      <c r="R535" s="17">
        <v>40</v>
      </c>
      <c r="S535" s="18">
        <v>4553.3099999999995</v>
      </c>
      <c r="T535" s="19" t="s">
        <v>36</v>
      </c>
      <c r="U535" s="20" t="s">
        <v>37</v>
      </c>
      <c r="V535" s="21" t="s">
        <v>38</v>
      </c>
      <c r="W535" s="22">
        <v>2</v>
      </c>
      <c r="X535" s="23"/>
    </row>
    <row r="536" spans="1:24" s="1" customFormat="1" ht="108" customHeight="1" x14ac:dyDescent="0.3">
      <c r="A536" s="11" t="s">
        <v>23</v>
      </c>
      <c r="B536" s="11" t="s">
        <v>760</v>
      </c>
      <c r="C536" s="12" t="s">
        <v>773</v>
      </c>
      <c r="D536" s="25"/>
      <c r="E536" s="39" t="str">
        <f>HYPERLINK("https://www.google.ru/search?q=1383891-025&amp;newwindow=1&amp;tbm=isch","Еще фото")</f>
        <v>Еще фото</v>
      </c>
      <c r="F536" s="13" t="s">
        <v>98</v>
      </c>
      <c r="G536" s="11" t="s">
        <v>753</v>
      </c>
      <c r="H536" s="11" t="s">
        <v>27</v>
      </c>
      <c r="I536" s="14" t="s">
        <v>754</v>
      </c>
      <c r="J536" s="14" t="s">
        <v>29</v>
      </c>
      <c r="K536" s="15" t="s">
        <v>30</v>
      </c>
      <c r="L536" s="14" t="s">
        <v>774</v>
      </c>
      <c r="M536" s="14"/>
      <c r="N536" s="14" t="s">
        <v>763</v>
      </c>
      <c r="O536" s="14"/>
      <c r="P536" s="15" t="s">
        <v>764</v>
      </c>
      <c r="Q536" s="16">
        <v>6499</v>
      </c>
      <c r="R536" s="17">
        <v>40</v>
      </c>
      <c r="S536" s="18">
        <v>4484.3099999999995</v>
      </c>
      <c r="T536" s="19" t="s">
        <v>36</v>
      </c>
      <c r="U536" s="20" t="s">
        <v>37</v>
      </c>
      <c r="V536" s="21" t="s">
        <v>38</v>
      </c>
      <c r="W536" s="22">
        <v>15</v>
      </c>
      <c r="X536" s="23"/>
    </row>
    <row r="537" spans="1:24" s="1" customFormat="1" ht="108" customHeight="1" x14ac:dyDescent="0.3">
      <c r="A537" s="11" t="s">
        <v>23</v>
      </c>
      <c r="B537" s="11" t="s">
        <v>775</v>
      </c>
      <c r="C537" s="12" t="s">
        <v>776</v>
      </c>
      <c r="D537" s="25"/>
      <c r="E537" s="39" t="str">
        <f>HYPERLINK("https://www.google.ru/search?q=1388624-290&amp;newwindow=1&amp;tbm=isch","Еще фото")</f>
        <v>Еще фото</v>
      </c>
      <c r="F537" s="13"/>
      <c r="G537" s="11" t="s">
        <v>777</v>
      </c>
      <c r="H537" s="11" t="s">
        <v>27</v>
      </c>
      <c r="I537" s="14" t="s">
        <v>754</v>
      </c>
      <c r="J537" s="14" t="s">
        <v>47</v>
      </c>
      <c r="K537" s="15" t="s">
        <v>30</v>
      </c>
      <c r="L537" s="14" t="s">
        <v>778</v>
      </c>
      <c r="M537" s="14"/>
      <c r="N537" s="14" t="s">
        <v>84</v>
      </c>
      <c r="O537" s="14"/>
      <c r="P537" s="15" t="s">
        <v>779</v>
      </c>
      <c r="Q537" s="16">
        <v>4599</v>
      </c>
      <c r="R537" s="17">
        <v>40</v>
      </c>
      <c r="S537" s="18">
        <v>3173.31</v>
      </c>
      <c r="T537" s="19" t="s">
        <v>36</v>
      </c>
      <c r="U537" s="20" t="s">
        <v>39</v>
      </c>
      <c r="V537" s="21" t="s">
        <v>40</v>
      </c>
      <c r="W537" s="22">
        <v>4</v>
      </c>
      <c r="X537" s="23"/>
    </row>
    <row r="538" spans="1:24" s="1" customFormat="1" ht="51.95" customHeight="1" x14ac:dyDescent="0.3">
      <c r="A538" s="11" t="s">
        <v>23</v>
      </c>
      <c r="B538" s="11" t="s">
        <v>780</v>
      </c>
      <c r="C538" s="12" t="s">
        <v>781</v>
      </c>
      <c r="D538" s="59"/>
      <c r="E538" s="39" t="str">
        <f>HYPERLINK("https://www.google.ru/search?q=6011483-001&amp;newwindow=1&amp;tbm=isch","Еще фото")</f>
        <v>Еще фото</v>
      </c>
      <c r="F538" s="13"/>
      <c r="G538" s="11" t="s">
        <v>753</v>
      </c>
      <c r="H538" s="11" t="s">
        <v>27</v>
      </c>
      <c r="I538" s="14" t="s">
        <v>754</v>
      </c>
      <c r="J538" s="14" t="s">
        <v>47</v>
      </c>
      <c r="K538" s="15" t="s">
        <v>30</v>
      </c>
      <c r="L538" s="56" t="s">
        <v>782</v>
      </c>
      <c r="M538" s="14"/>
      <c r="N538" s="14" t="s">
        <v>410</v>
      </c>
      <c r="O538" s="14"/>
      <c r="P538" s="15" t="s">
        <v>779</v>
      </c>
      <c r="Q538" s="16">
        <v>6299</v>
      </c>
      <c r="R538" s="17">
        <v>40</v>
      </c>
      <c r="S538" s="18">
        <v>4346.3099999999995</v>
      </c>
      <c r="T538" s="19" t="s">
        <v>36</v>
      </c>
      <c r="U538" s="20" t="s">
        <v>37</v>
      </c>
      <c r="V538" s="21" t="s">
        <v>38</v>
      </c>
      <c r="W538" s="22">
        <v>5</v>
      </c>
      <c r="X538" s="23"/>
    </row>
    <row r="539" spans="1:24" s="1" customFormat="1" ht="60.95" customHeight="1" x14ac:dyDescent="0.3">
      <c r="A539" s="24" t="s">
        <v>23</v>
      </c>
      <c r="B539" s="24" t="s">
        <v>780</v>
      </c>
      <c r="C539" s="12" t="s">
        <v>781</v>
      </c>
      <c r="D539" s="60"/>
      <c r="E539" s="39" t="str">
        <f>HYPERLINK("https://www.google.ru/search?q=6011483-001&amp;newwindow=1&amp;tbm=isch","Еще фото")</f>
        <v>Еще фото</v>
      </c>
      <c r="F539" s="13"/>
      <c r="G539" s="24" t="s">
        <v>753</v>
      </c>
      <c r="H539" s="24" t="s">
        <v>27</v>
      </c>
      <c r="I539" s="24" t="s">
        <v>754</v>
      </c>
      <c r="J539" s="14" t="s">
        <v>47</v>
      </c>
      <c r="K539" s="15" t="s">
        <v>30</v>
      </c>
      <c r="L539" s="58"/>
      <c r="M539" s="14"/>
      <c r="N539" s="14" t="s">
        <v>410</v>
      </c>
      <c r="O539" s="14"/>
      <c r="P539" s="15" t="s">
        <v>779</v>
      </c>
      <c r="Q539" s="16">
        <v>6299</v>
      </c>
      <c r="R539" s="17">
        <v>40</v>
      </c>
      <c r="S539" s="18">
        <v>4346.3099999999995</v>
      </c>
      <c r="T539" s="19" t="s">
        <v>36</v>
      </c>
      <c r="U539" s="20" t="s">
        <v>39</v>
      </c>
      <c r="V539" s="21" t="s">
        <v>40</v>
      </c>
      <c r="W539" s="22">
        <v>4</v>
      </c>
      <c r="X539" s="23"/>
    </row>
    <row r="540" spans="1:24" s="1" customFormat="1" ht="108" customHeight="1" x14ac:dyDescent="0.3">
      <c r="A540" s="11" t="s">
        <v>23</v>
      </c>
      <c r="B540" s="11" t="s">
        <v>783</v>
      </c>
      <c r="C540" s="12" t="s">
        <v>784</v>
      </c>
      <c r="D540" s="25"/>
      <c r="E540" s="39" t="str">
        <f>HYPERLINK("https://www.google.ru/search?q=1379510-011&amp;newwindow=1&amp;tbm=isch","Еще фото")</f>
        <v>Еще фото</v>
      </c>
      <c r="F540" s="13"/>
      <c r="G540" s="11" t="s">
        <v>785</v>
      </c>
      <c r="H540" s="11" t="s">
        <v>576</v>
      </c>
      <c r="I540" s="14" t="s">
        <v>786</v>
      </c>
      <c r="J540" s="14" t="s">
        <v>29</v>
      </c>
      <c r="K540" s="15" t="s">
        <v>578</v>
      </c>
      <c r="L540" s="14" t="s">
        <v>787</v>
      </c>
      <c r="M540" s="14"/>
      <c r="N540" s="14" t="s">
        <v>788</v>
      </c>
      <c r="O540" s="14"/>
      <c r="P540" s="15" t="s">
        <v>789</v>
      </c>
      <c r="Q540" s="16">
        <v>1699</v>
      </c>
      <c r="R540" s="17">
        <v>40</v>
      </c>
      <c r="S540" s="18">
        <v>1172.31</v>
      </c>
      <c r="T540" s="19" t="s">
        <v>36</v>
      </c>
      <c r="U540" s="20" t="s">
        <v>39</v>
      </c>
      <c r="V540" s="21" t="s">
        <v>790</v>
      </c>
      <c r="W540" s="22">
        <v>1</v>
      </c>
      <c r="X540" s="23"/>
    </row>
    <row r="541" spans="1:24" s="1" customFormat="1" ht="108" customHeight="1" x14ac:dyDescent="0.3">
      <c r="A541" s="11" t="s">
        <v>23</v>
      </c>
      <c r="B541" s="11" t="s">
        <v>791</v>
      </c>
      <c r="C541" s="12" t="s">
        <v>792</v>
      </c>
      <c r="D541" s="25"/>
      <c r="E541" s="39" t="str">
        <f>HYPERLINK("https://www.google.ru/search?q=1379512-001&amp;newwindow=1&amp;tbm=isch","Еще фото")</f>
        <v>Еще фото</v>
      </c>
      <c r="F541" s="13" t="s">
        <v>98</v>
      </c>
      <c r="G541" s="11" t="s">
        <v>785</v>
      </c>
      <c r="H541" s="11" t="s">
        <v>576</v>
      </c>
      <c r="I541" s="14" t="s">
        <v>786</v>
      </c>
      <c r="J541" s="14" t="s">
        <v>29</v>
      </c>
      <c r="K541" s="15" t="s">
        <v>578</v>
      </c>
      <c r="L541" s="14" t="s">
        <v>793</v>
      </c>
      <c r="M541" s="14"/>
      <c r="N541" s="14" t="s">
        <v>33</v>
      </c>
      <c r="O541" s="14"/>
      <c r="P541" s="15" t="s">
        <v>789</v>
      </c>
      <c r="Q541" s="16">
        <v>1899</v>
      </c>
      <c r="R541" s="17">
        <v>40</v>
      </c>
      <c r="S541" s="18">
        <v>1310.31</v>
      </c>
      <c r="T541" s="19" t="s">
        <v>36</v>
      </c>
      <c r="U541" s="20" t="s">
        <v>39</v>
      </c>
      <c r="V541" s="21" t="s">
        <v>790</v>
      </c>
      <c r="W541" s="22">
        <v>40</v>
      </c>
      <c r="X541" s="23"/>
    </row>
    <row r="542" spans="1:24" s="1" customFormat="1" ht="108" customHeight="1" x14ac:dyDescent="0.3">
      <c r="A542" s="11" t="s">
        <v>23</v>
      </c>
      <c r="B542" s="11" t="s">
        <v>794</v>
      </c>
      <c r="C542" s="12" t="s">
        <v>795</v>
      </c>
      <c r="D542" s="25"/>
      <c r="E542" s="39" t="str">
        <f>HYPERLINK("https://www.google.ru/search?q=1379519-001&amp;newwindow=1&amp;tbm=isch","Еще фото")</f>
        <v>Еще фото</v>
      </c>
      <c r="F542" s="13"/>
      <c r="G542" s="11" t="s">
        <v>785</v>
      </c>
      <c r="H542" s="11" t="s">
        <v>576</v>
      </c>
      <c r="I542" s="14" t="s">
        <v>786</v>
      </c>
      <c r="J542" s="14" t="s">
        <v>29</v>
      </c>
      <c r="K542" s="15" t="s">
        <v>54</v>
      </c>
      <c r="L542" s="14" t="s">
        <v>796</v>
      </c>
      <c r="M542" s="14"/>
      <c r="N542" s="14" t="s">
        <v>33</v>
      </c>
      <c r="O542" s="14"/>
      <c r="P542" s="15" t="s">
        <v>789</v>
      </c>
      <c r="Q542" s="16">
        <v>1399</v>
      </c>
      <c r="R542" s="17">
        <v>40</v>
      </c>
      <c r="S542" s="33">
        <v>965.31</v>
      </c>
      <c r="T542" s="19" t="s">
        <v>36</v>
      </c>
      <c r="U542" s="20" t="s">
        <v>69</v>
      </c>
      <c r="V542" s="21" t="s">
        <v>797</v>
      </c>
      <c r="W542" s="22">
        <v>1</v>
      </c>
      <c r="X542" s="23"/>
    </row>
    <row r="543" spans="1:24" s="1" customFormat="1" ht="51.95" customHeight="1" x14ac:dyDescent="0.3">
      <c r="A543" s="11" t="s">
        <v>23</v>
      </c>
      <c r="B543" s="11" t="s">
        <v>798</v>
      </c>
      <c r="C543" s="12" t="s">
        <v>799</v>
      </c>
      <c r="D543" s="59"/>
      <c r="E543" s="39" t="str">
        <f>HYPERLINK("https://www.google.ru/search?q=1379521-001&amp;newwindow=1&amp;tbm=isch","Еще фото")</f>
        <v>Еще фото</v>
      </c>
      <c r="F543" s="13"/>
      <c r="G543" s="11" t="s">
        <v>785</v>
      </c>
      <c r="H543" s="11" t="s">
        <v>576</v>
      </c>
      <c r="I543" s="14" t="s">
        <v>786</v>
      </c>
      <c r="J543" s="14" t="s">
        <v>29</v>
      </c>
      <c r="K543" s="15" t="s">
        <v>54</v>
      </c>
      <c r="L543" s="56" t="s">
        <v>800</v>
      </c>
      <c r="M543" s="14"/>
      <c r="N543" s="14" t="s">
        <v>33</v>
      </c>
      <c r="O543" s="14"/>
      <c r="P543" s="15" t="s">
        <v>789</v>
      </c>
      <c r="Q543" s="16">
        <v>1599</v>
      </c>
      <c r="R543" s="17">
        <v>40</v>
      </c>
      <c r="S543" s="33">
        <v>1103.31</v>
      </c>
      <c r="T543" s="19" t="s">
        <v>36</v>
      </c>
      <c r="U543" s="20" t="s">
        <v>69</v>
      </c>
      <c r="V543" s="21" t="s">
        <v>797</v>
      </c>
      <c r="W543" s="22">
        <v>5</v>
      </c>
      <c r="X543" s="23"/>
    </row>
    <row r="544" spans="1:24" s="1" customFormat="1" ht="60.95" customHeight="1" x14ac:dyDescent="0.3">
      <c r="A544" s="24" t="s">
        <v>23</v>
      </c>
      <c r="B544" s="24" t="s">
        <v>798</v>
      </c>
      <c r="C544" s="12" t="s">
        <v>799</v>
      </c>
      <c r="D544" s="60"/>
      <c r="E544" s="39" t="str">
        <f>HYPERLINK("https://www.google.ru/search?q=1379521-001&amp;newwindow=1&amp;tbm=isch","Еще фото")</f>
        <v>Еще фото</v>
      </c>
      <c r="F544" s="13"/>
      <c r="G544" s="24" t="s">
        <v>785</v>
      </c>
      <c r="H544" s="24" t="s">
        <v>576</v>
      </c>
      <c r="I544" s="24" t="s">
        <v>786</v>
      </c>
      <c r="J544" s="14" t="s">
        <v>29</v>
      </c>
      <c r="K544" s="15" t="s">
        <v>54</v>
      </c>
      <c r="L544" s="58"/>
      <c r="M544" s="14"/>
      <c r="N544" s="14" t="s">
        <v>33</v>
      </c>
      <c r="O544" s="14"/>
      <c r="P544" s="15" t="s">
        <v>789</v>
      </c>
      <c r="Q544" s="16">
        <v>1599</v>
      </c>
      <c r="R544" s="17">
        <v>40</v>
      </c>
      <c r="S544" s="33">
        <v>1103.31</v>
      </c>
      <c r="T544" s="19" t="s">
        <v>36</v>
      </c>
      <c r="U544" s="20" t="s">
        <v>39</v>
      </c>
      <c r="V544" s="21" t="s">
        <v>801</v>
      </c>
      <c r="W544" s="22">
        <v>10</v>
      </c>
      <c r="X544" s="23"/>
    </row>
    <row r="545" spans="1:24" s="1" customFormat="1" ht="108" customHeight="1" x14ac:dyDescent="0.3">
      <c r="A545" s="11" t="s">
        <v>23</v>
      </c>
      <c r="B545" s="11" t="s">
        <v>802</v>
      </c>
      <c r="C545" s="12" t="s">
        <v>803</v>
      </c>
      <c r="D545" s="25"/>
      <c r="E545" s="39" t="str">
        <f>HYPERLINK("https://www.google.ru/search?q=1386242-003&amp;newwindow=1&amp;tbm=isch","Еще фото")</f>
        <v>Еще фото</v>
      </c>
      <c r="F545" s="13"/>
      <c r="G545" s="11" t="s">
        <v>804</v>
      </c>
      <c r="H545" s="11" t="s">
        <v>576</v>
      </c>
      <c r="I545" s="14" t="s">
        <v>786</v>
      </c>
      <c r="J545" s="14" t="s">
        <v>29</v>
      </c>
      <c r="K545" s="15" t="s">
        <v>578</v>
      </c>
      <c r="L545" s="14" t="s">
        <v>805</v>
      </c>
      <c r="M545" s="14"/>
      <c r="N545" s="14" t="s">
        <v>33</v>
      </c>
      <c r="O545" s="14"/>
      <c r="P545" s="15" t="s">
        <v>789</v>
      </c>
      <c r="Q545" s="16">
        <v>3199</v>
      </c>
      <c r="R545" s="17">
        <v>40</v>
      </c>
      <c r="S545" s="18">
        <v>2207.31</v>
      </c>
      <c r="T545" s="19" t="s">
        <v>36</v>
      </c>
      <c r="U545" s="20" t="s">
        <v>39</v>
      </c>
      <c r="V545" s="21" t="s">
        <v>790</v>
      </c>
      <c r="W545" s="22">
        <v>24</v>
      </c>
      <c r="X545" s="23"/>
    </row>
    <row r="546" spans="1:24" s="1" customFormat="1" ht="35.1" customHeight="1" x14ac:dyDescent="0.3">
      <c r="A546" s="11" t="s">
        <v>23</v>
      </c>
      <c r="B546" s="11" t="s">
        <v>806</v>
      </c>
      <c r="C546" s="12" t="s">
        <v>807</v>
      </c>
      <c r="D546" s="53"/>
      <c r="E546" s="39" t="str">
        <f>HYPERLINK("https://www.google.ru/search?q=3025427-500&amp;newwindow=1&amp;tbm=isch","Еще фото")</f>
        <v>Еще фото</v>
      </c>
      <c r="F546" s="13"/>
      <c r="G546" s="11" t="s">
        <v>808</v>
      </c>
      <c r="H546" s="11" t="s">
        <v>593</v>
      </c>
      <c r="I546" s="14" t="s">
        <v>809</v>
      </c>
      <c r="J546" s="14" t="s">
        <v>29</v>
      </c>
      <c r="K546" s="15" t="s">
        <v>64</v>
      </c>
      <c r="L546" s="56" t="s">
        <v>810</v>
      </c>
      <c r="M546" s="14" t="s">
        <v>811</v>
      </c>
      <c r="N546" s="14" t="s">
        <v>84</v>
      </c>
      <c r="O546" s="14"/>
      <c r="P546" s="15" t="s">
        <v>812</v>
      </c>
      <c r="Q546" s="16">
        <v>9299</v>
      </c>
      <c r="R546" s="17">
        <v>76.8</v>
      </c>
      <c r="S546" s="18">
        <v>2481.4354999999996</v>
      </c>
      <c r="T546" s="19" t="s">
        <v>36</v>
      </c>
      <c r="U546" s="20" t="s">
        <v>813</v>
      </c>
      <c r="V546" s="28">
        <v>35.5</v>
      </c>
      <c r="W546" s="22">
        <v>4</v>
      </c>
      <c r="X546" s="23"/>
    </row>
    <row r="547" spans="1:24" s="1" customFormat="1" ht="35.1" customHeight="1" x14ac:dyDescent="0.3">
      <c r="A547" s="24" t="s">
        <v>23</v>
      </c>
      <c r="B547" s="24" t="s">
        <v>806</v>
      </c>
      <c r="C547" s="12" t="s">
        <v>807</v>
      </c>
      <c r="D547" s="54"/>
      <c r="E547" s="39" t="str">
        <f>HYPERLINK("https://www.google.ru/search?q=3025427-500&amp;newwindow=1&amp;tbm=isch","Еще фото")</f>
        <v>Еще фото</v>
      </c>
      <c r="F547" s="13"/>
      <c r="G547" s="24" t="s">
        <v>808</v>
      </c>
      <c r="H547" s="24" t="s">
        <v>593</v>
      </c>
      <c r="I547" s="24" t="s">
        <v>809</v>
      </c>
      <c r="J547" s="14" t="s">
        <v>29</v>
      </c>
      <c r="K547" s="15" t="s">
        <v>64</v>
      </c>
      <c r="L547" s="57"/>
      <c r="M547" s="14" t="s">
        <v>811</v>
      </c>
      <c r="N547" s="14" t="s">
        <v>84</v>
      </c>
      <c r="O547" s="14"/>
      <c r="P547" s="15" t="s">
        <v>812</v>
      </c>
      <c r="Q547" s="16">
        <v>9299</v>
      </c>
      <c r="R547" s="17">
        <v>76.8</v>
      </c>
      <c r="S547" s="18">
        <v>2481.4354999999996</v>
      </c>
      <c r="T547" s="19" t="s">
        <v>36</v>
      </c>
      <c r="U547" s="20" t="s">
        <v>814</v>
      </c>
      <c r="V547" s="28">
        <v>36.5</v>
      </c>
      <c r="W547" s="22">
        <v>10</v>
      </c>
      <c r="X547" s="23"/>
    </row>
    <row r="548" spans="1:24" s="1" customFormat="1" ht="36.950000000000003" customHeight="1" x14ac:dyDescent="0.3">
      <c r="A548" s="24" t="s">
        <v>23</v>
      </c>
      <c r="B548" s="24" t="s">
        <v>806</v>
      </c>
      <c r="C548" s="12" t="s">
        <v>807</v>
      </c>
      <c r="D548" s="55"/>
      <c r="E548" s="39" t="str">
        <f>HYPERLINK("https://www.google.ru/search?q=3025427-500&amp;newwindow=1&amp;tbm=isch","Еще фото")</f>
        <v>Еще фото</v>
      </c>
      <c r="F548" s="13"/>
      <c r="G548" s="24" t="s">
        <v>808</v>
      </c>
      <c r="H548" s="24" t="s">
        <v>593</v>
      </c>
      <c r="I548" s="24" t="s">
        <v>809</v>
      </c>
      <c r="J548" s="14" t="s">
        <v>29</v>
      </c>
      <c r="K548" s="15" t="s">
        <v>64</v>
      </c>
      <c r="L548" s="58"/>
      <c r="M548" s="14" t="s">
        <v>811</v>
      </c>
      <c r="N548" s="14" t="s">
        <v>84</v>
      </c>
      <c r="O548" s="14"/>
      <c r="P548" s="15" t="s">
        <v>812</v>
      </c>
      <c r="Q548" s="16">
        <v>9299</v>
      </c>
      <c r="R548" s="17">
        <v>76.8</v>
      </c>
      <c r="S548" s="18">
        <v>2481.4354999999996</v>
      </c>
      <c r="T548" s="19" t="s">
        <v>36</v>
      </c>
      <c r="U548" s="20" t="s">
        <v>598</v>
      </c>
      <c r="V548" s="22">
        <v>37</v>
      </c>
      <c r="W548" s="22">
        <v>23</v>
      </c>
      <c r="X548" s="23"/>
    </row>
    <row r="549" spans="1:24" s="1" customFormat="1" ht="26.1" customHeight="1" x14ac:dyDescent="0.3">
      <c r="A549" s="11" t="s">
        <v>23</v>
      </c>
      <c r="B549" s="11" t="s">
        <v>815</v>
      </c>
      <c r="C549" s="12" t="s">
        <v>816</v>
      </c>
      <c r="D549" s="53"/>
      <c r="E549" s="39" t="str">
        <f>HYPERLINK("https://www.google.ru/search?q=3024889-001&amp;newwindow=1&amp;tbm=isch","Еще фото")</f>
        <v>Еще фото</v>
      </c>
      <c r="F549" s="34" t="s">
        <v>817</v>
      </c>
      <c r="G549" s="11" t="s">
        <v>808</v>
      </c>
      <c r="H549" s="11" t="s">
        <v>593</v>
      </c>
      <c r="I549" s="14" t="s">
        <v>809</v>
      </c>
      <c r="J549" s="14" t="s">
        <v>29</v>
      </c>
      <c r="K549" s="15" t="s">
        <v>64</v>
      </c>
      <c r="L549" s="56" t="s">
        <v>818</v>
      </c>
      <c r="M549" s="14" t="s">
        <v>811</v>
      </c>
      <c r="N549" s="14" t="s">
        <v>33</v>
      </c>
      <c r="O549" s="14"/>
      <c r="P549" s="15" t="s">
        <v>819</v>
      </c>
      <c r="Q549" s="16">
        <v>9099</v>
      </c>
      <c r="R549" s="17">
        <v>75.52</v>
      </c>
      <c r="S549" s="18">
        <v>2561.9354999999996</v>
      </c>
      <c r="T549" s="19" t="s">
        <v>36</v>
      </c>
      <c r="U549" s="20" t="s">
        <v>820</v>
      </c>
      <c r="V549" s="22">
        <v>36</v>
      </c>
      <c r="W549" s="22">
        <v>3</v>
      </c>
      <c r="X549" s="23"/>
    </row>
    <row r="550" spans="1:24" s="1" customFormat="1" ht="26.1" customHeight="1" x14ac:dyDescent="0.3">
      <c r="A550" s="24" t="s">
        <v>23</v>
      </c>
      <c r="B550" s="24" t="s">
        <v>815</v>
      </c>
      <c r="C550" s="12" t="s">
        <v>816</v>
      </c>
      <c r="D550" s="54"/>
      <c r="E550" s="39" t="str">
        <f>HYPERLINK("https://www.google.ru/search?q=3024889-001&amp;newwindow=1&amp;tbm=isch","Еще фото")</f>
        <v>Еще фото</v>
      </c>
      <c r="F550" s="34" t="s">
        <v>817</v>
      </c>
      <c r="G550" s="24" t="s">
        <v>808</v>
      </c>
      <c r="H550" s="24" t="s">
        <v>593</v>
      </c>
      <c r="I550" s="24" t="s">
        <v>809</v>
      </c>
      <c r="J550" s="14" t="s">
        <v>29</v>
      </c>
      <c r="K550" s="15" t="s">
        <v>64</v>
      </c>
      <c r="L550" s="57"/>
      <c r="M550" s="14" t="s">
        <v>811</v>
      </c>
      <c r="N550" s="14" t="s">
        <v>33</v>
      </c>
      <c r="O550" s="14"/>
      <c r="P550" s="15" t="s">
        <v>819</v>
      </c>
      <c r="Q550" s="16">
        <v>9099</v>
      </c>
      <c r="R550" s="17">
        <v>75.52</v>
      </c>
      <c r="S550" s="18">
        <v>2561.9354999999996</v>
      </c>
      <c r="T550" s="19" t="s">
        <v>36</v>
      </c>
      <c r="U550" s="20" t="s">
        <v>814</v>
      </c>
      <c r="V550" s="28">
        <v>36.5</v>
      </c>
      <c r="W550" s="22">
        <v>30</v>
      </c>
      <c r="X550" s="23"/>
    </row>
    <row r="551" spans="1:24" s="1" customFormat="1" ht="26.1" customHeight="1" x14ac:dyDescent="0.3">
      <c r="A551" s="24" t="s">
        <v>23</v>
      </c>
      <c r="B551" s="24" t="s">
        <v>815</v>
      </c>
      <c r="C551" s="12" t="s">
        <v>816</v>
      </c>
      <c r="D551" s="54"/>
      <c r="E551" s="39" t="str">
        <f>HYPERLINK("https://www.google.ru/search?q=3024889-001&amp;newwindow=1&amp;tbm=isch","Еще фото")</f>
        <v>Еще фото</v>
      </c>
      <c r="F551" s="34" t="s">
        <v>817</v>
      </c>
      <c r="G551" s="24" t="s">
        <v>808</v>
      </c>
      <c r="H551" s="24" t="s">
        <v>593</v>
      </c>
      <c r="I551" s="24" t="s">
        <v>809</v>
      </c>
      <c r="J551" s="14" t="s">
        <v>29</v>
      </c>
      <c r="K551" s="15" t="s">
        <v>64</v>
      </c>
      <c r="L551" s="57"/>
      <c r="M551" s="14" t="s">
        <v>811</v>
      </c>
      <c r="N551" s="14" t="s">
        <v>33</v>
      </c>
      <c r="O551" s="14"/>
      <c r="P551" s="15" t="s">
        <v>819</v>
      </c>
      <c r="Q551" s="16">
        <v>9099</v>
      </c>
      <c r="R551" s="17">
        <v>75.52</v>
      </c>
      <c r="S551" s="18">
        <v>2561.9354999999996</v>
      </c>
      <c r="T551" s="19" t="s">
        <v>36</v>
      </c>
      <c r="U551" s="20" t="s">
        <v>598</v>
      </c>
      <c r="V551" s="22">
        <v>37</v>
      </c>
      <c r="W551" s="22">
        <v>90</v>
      </c>
      <c r="X551" s="23"/>
    </row>
    <row r="552" spans="1:24" s="1" customFormat="1" ht="26.1" customHeight="1" x14ac:dyDescent="0.3">
      <c r="A552" s="24" t="s">
        <v>23</v>
      </c>
      <c r="B552" s="24" t="s">
        <v>815</v>
      </c>
      <c r="C552" s="12" t="s">
        <v>816</v>
      </c>
      <c r="D552" s="55"/>
      <c r="E552" s="39" t="str">
        <f>HYPERLINK("https://www.google.ru/search?q=3024889-001&amp;newwindow=1&amp;tbm=isch","Еще фото")</f>
        <v>Еще фото</v>
      </c>
      <c r="F552" s="34" t="s">
        <v>817</v>
      </c>
      <c r="G552" s="24" t="s">
        <v>808</v>
      </c>
      <c r="H552" s="24" t="s">
        <v>593</v>
      </c>
      <c r="I552" s="24" t="s">
        <v>809</v>
      </c>
      <c r="J552" s="14" t="s">
        <v>29</v>
      </c>
      <c r="K552" s="15" t="s">
        <v>64</v>
      </c>
      <c r="L552" s="58"/>
      <c r="M552" s="14" t="s">
        <v>811</v>
      </c>
      <c r="N552" s="14" t="s">
        <v>33</v>
      </c>
      <c r="O552" s="14"/>
      <c r="P552" s="15" t="s">
        <v>819</v>
      </c>
      <c r="Q552" s="16">
        <v>9099</v>
      </c>
      <c r="R552" s="17">
        <v>75.52</v>
      </c>
      <c r="S552" s="18">
        <v>2561.9354999999996</v>
      </c>
      <c r="T552" s="19" t="s">
        <v>36</v>
      </c>
      <c r="U552" s="20" t="s">
        <v>599</v>
      </c>
      <c r="V552" s="28">
        <v>37.5</v>
      </c>
      <c r="W552" s="22">
        <v>2</v>
      </c>
      <c r="X552" s="23"/>
    </row>
    <row r="553" spans="1:24" s="1" customFormat="1" ht="35.1" customHeight="1" x14ac:dyDescent="0.3">
      <c r="A553" s="11" t="s">
        <v>23</v>
      </c>
      <c r="B553" s="11" t="s">
        <v>821</v>
      </c>
      <c r="C553" s="12" t="s">
        <v>822</v>
      </c>
      <c r="D553" s="53"/>
      <c r="E553" s="39" t="str">
        <f>HYPERLINK("https://www.google.ru/search?q=3026128-003&amp;newwindow=1&amp;tbm=isch","Еще фото")</f>
        <v>Еще фото</v>
      </c>
      <c r="F553" s="13"/>
      <c r="G553" s="11" t="s">
        <v>808</v>
      </c>
      <c r="H553" s="11" t="s">
        <v>593</v>
      </c>
      <c r="I553" s="14" t="s">
        <v>809</v>
      </c>
      <c r="J553" s="14" t="s">
        <v>29</v>
      </c>
      <c r="K553" s="15" t="s">
        <v>64</v>
      </c>
      <c r="L553" s="56" t="s">
        <v>823</v>
      </c>
      <c r="M553" s="14" t="s">
        <v>824</v>
      </c>
      <c r="N553" s="14" t="s">
        <v>33</v>
      </c>
      <c r="O553" s="14"/>
      <c r="P553" s="15" t="s">
        <v>825</v>
      </c>
      <c r="Q553" s="16">
        <v>15599</v>
      </c>
      <c r="R553" s="17">
        <v>71.290000000000006</v>
      </c>
      <c r="S553" s="18">
        <v>5149.4355000000005</v>
      </c>
      <c r="T553" s="19" t="s">
        <v>36</v>
      </c>
      <c r="U553" s="20" t="s">
        <v>813</v>
      </c>
      <c r="V553" s="28">
        <v>35.5</v>
      </c>
      <c r="W553" s="22">
        <v>5</v>
      </c>
      <c r="X553" s="23"/>
    </row>
    <row r="554" spans="1:24" s="1" customFormat="1" ht="35.1" customHeight="1" x14ac:dyDescent="0.3">
      <c r="A554" s="24" t="s">
        <v>23</v>
      </c>
      <c r="B554" s="24" t="s">
        <v>821</v>
      </c>
      <c r="C554" s="12" t="s">
        <v>822</v>
      </c>
      <c r="D554" s="54"/>
      <c r="E554" s="39" t="str">
        <f>HYPERLINK("https://www.google.ru/search?q=3026128-003&amp;newwindow=1&amp;tbm=isch","Еще фото")</f>
        <v>Еще фото</v>
      </c>
      <c r="F554" s="13"/>
      <c r="G554" s="24" t="s">
        <v>808</v>
      </c>
      <c r="H554" s="24" t="s">
        <v>593</v>
      </c>
      <c r="I554" s="24" t="s">
        <v>809</v>
      </c>
      <c r="J554" s="14" t="s">
        <v>29</v>
      </c>
      <c r="K554" s="15" t="s">
        <v>64</v>
      </c>
      <c r="L554" s="57"/>
      <c r="M554" s="14" t="s">
        <v>824</v>
      </c>
      <c r="N554" s="14" t="s">
        <v>33</v>
      </c>
      <c r="O554" s="14"/>
      <c r="P554" s="15" t="s">
        <v>825</v>
      </c>
      <c r="Q554" s="16">
        <v>15599</v>
      </c>
      <c r="R554" s="17">
        <v>71.290000000000006</v>
      </c>
      <c r="S554" s="18">
        <v>5149.4355000000005</v>
      </c>
      <c r="T554" s="19" t="s">
        <v>36</v>
      </c>
      <c r="U554" s="20" t="s">
        <v>820</v>
      </c>
      <c r="V554" s="22">
        <v>36</v>
      </c>
      <c r="W554" s="22">
        <v>10</v>
      </c>
      <c r="X554" s="23"/>
    </row>
    <row r="555" spans="1:24" s="1" customFormat="1" ht="36.950000000000003" customHeight="1" x14ac:dyDescent="0.3">
      <c r="A555" s="24" t="s">
        <v>23</v>
      </c>
      <c r="B555" s="24" t="s">
        <v>821</v>
      </c>
      <c r="C555" s="12" t="s">
        <v>822</v>
      </c>
      <c r="D555" s="55"/>
      <c r="E555" s="39" t="str">
        <f>HYPERLINK("https://www.google.ru/search?q=3026128-003&amp;newwindow=1&amp;tbm=isch","Еще фото")</f>
        <v>Еще фото</v>
      </c>
      <c r="F555" s="13"/>
      <c r="G555" s="24" t="s">
        <v>808</v>
      </c>
      <c r="H555" s="24" t="s">
        <v>593</v>
      </c>
      <c r="I555" s="24" t="s">
        <v>809</v>
      </c>
      <c r="J555" s="14" t="s">
        <v>29</v>
      </c>
      <c r="K555" s="15" t="s">
        <v>64</v>
      </c>
      <c r="L555" s="58"/>
      <c r="M555" s="14" t="s">
        <v>824</v>
      </c>
      <c r="N555" s="14" t="s">
        <v>33</v>
      </c>
      <c r="O555" s="14"/>
      <c r="P555" s="15" t="s">
        <v>825</v>
      </c>
      <c r="Q555" s="16">
        <v>15599</v>
      </c>
      <c r="R555" s="17">
        <v>71.290000000000006</v>
      </c>
      <c r="S555" s="18">
        <v>5149.4355000000005</v>
      </c>
      <c r="T555" s="19" t="s">
        <v>36</v>
      </c>
      <c r="U555" s="20" t="s">
        <v>814</v>
      </c>
      <c r="V555" s="28">
        <v>36.5</v>
      </c>
      <c r="W555" s="22">
        <v>3</v>
      </c>
      <c r="X555" s="23"/>
    </row>
    <row r="556" spans="1:24" s="1" customFormat="1" ht="26.1" customHeight="1" x14ac:dyDescent="0.3">
      <c r="A556" s="11" t="s">
        <v>23</v>
      </c>
      <c r="B556" s="11" t="s">
        <v>815</v>
      </c>
      <c r="C556" s="12" t="s">
        <v>826</v>
      </c>
      <c r="D556" s="53"/>
      <c r="E556" s="39" t="str">
        <f>HYPERLINK("https://www.google.ru/search?q=3024889-500&amp;newwindow=1&amp;tbm=isch","Еще фото")</f>
        <v>Еще фото</v>
      </c>
      <c r="F556" s="13"/>
      <c r="G556" s="11" t="s">
        <v>808</v>
      </c>
      <c r="H556" s="11" t="s">
        <v>593</v>
      </c>
      <c r="I556" s="14" t="s">
        <v>809</v>
      </c>
      <c r="J556" s="14" t="s">
        <v>29</v>
      </c>
      <c r="K556" s="15" t="s">
        <v>64</v>
      </c>
      <c r="L556" s="56" t="s">
        <v>818</v>
      </c>
      <c r="M556" s="14" t="s">
        <v>811</v>
      </c>
      <c r="N556" s="14" t="s">
        <v>67</v>
      </c>
      <c r="O556" s="14"/>
      <c r="P556" s="15" t="s">
        <v>827</v>
      </c>
      <c r="Q556" s="16">
        <v>8499</v>
      </c>
      <c r="R556" s="17">
        <v>69.67</v>
      </c>
      <c r="S556" s="18">
        <v>2964.4354999999996</v>
      </c>
      <c r="T556" s="19" t="s">
        <v>36</v>
      </c>
      <c r="U556" s="20" t="s">
        <v>813</v>
      </c>
      <c r="V556" s="28">
        <v>35.5</v>
      </c>
      <c r="W556" s="22">
        <v>5</v>
      </c>
      <c r="X556" s="23"/>
    </row>
    <row r="557" spans="1:24" s="1" customFormat="1" ht="26.1" customHeight="1" x14ac:dyDescent="0.3">
      <c r="A557" s="24" t="s">
        <v>23</v>
      </c>
      <c r="B557" s="24" t="s">
        <v>815</v>
      </c>
      <c r="C557" s="12" t="s">
        <v>826</v>
      </c>
      <c r="D557" s="54"/>
      <c r="E557" s="39" t="str">
        <f>HYPERLINK("https://www.google.ru/search?q=3024889-500&amp;newwindow=1&amp;tbm=isch","Еще фото")</f>
        <v>Еще фото</v>
      </c>
      <c r="F557" s="13"/>
      <c r="G557" s="24" t="s">
        <v>808</v>
      </c>
      <c r="H557" s="24" t="s">
        <v>593</v>
      </c>
      <c r="I557" s="24" t="s">
        <v>809</v>
      </c>
      <c r="J557" s="14" t="s">
        <v>29</v>
      </c>
      <c r="K557" s="15" t="s">
        <v>64</v>
      </c>
      <c r="L557" s="57"/>
      <c r="M557" s="14" t="s">
        <v>811</v>
      </c>
      <c r="N557" s="14" t="s">
        <v>67</v>
      </c>
      <c r="O557" s="14"/>
      <c r="P557" s="15" t="s">
        <v>827</v>
      </c>
      <c r="Q557" s="16">
        <v>8499</v>
      </c>
      <c r="R557" s="17">
        <v>69.67</v>
      </c>
      <c r="S557" s="18">
        <v>2964.4354999999996</v>
      </c>
      <c r="T557" s="19" t="s">
        <v>36</v>
      </c>
      <c r="U557" s="20" t="s">
        <v>820</v>
      </c>
      <c r="V557" s="22">
        <v>36</v>
      </c>
      <c r="W557" s="22">
        <v>2</v>
      </c>
      <c r="X557" s="23"/>
    </row>
    <row r="558" spans="1:24" s="1" customFormat="1" ht="26.1" customHeight="1" x14ac:dyDescent="0.3">
      <c r="A558" s="24" t="s">
        <v>23</v>
      </c>
      <c r="B558" s="24" t="s">
        <v>815</v>
      </c>
      <c r="C558" s="12" t="s">
        <v>826</v>
      </c>
      <c r="D558" s="54"/>
      <c r="E558" s="39" t="str">
        <f>HYPERLINK("https://www.google.ru/search?q=3024889-500&amp;newwindow=1&amp;tbm=isch","Еще фото")</f>
        <v>Еще фото</v>
      </c>
      <c r="F558" s="13"/>
      <c r="G558" s="24" t="s">
        <v>808</v>
      </c>
      <c r="H558" s="24" t="s">
        <v>593</v>
      </c>
      <c r="I558" s="24" t="s">
        <v>809</v>
      </c>
      <c r="J558" s="14" t="s">
        <v>29</v>
      </c>
      <c r="K558" s="15" t="s">
        <v>64</v>
      </c>
      <c r="L558" s="57"/>
      <c r="M558" s="14" t="s">
        <v>811</v>
      </c>
      <c r="N558" s="14" t="s">
        <v>67</v>
      </c>
      <c r="O558" s="14"/>
      <c r="P558" s="15" t="s">
        <v>827</v>
      </c>
      <c r="Q558" s="16">
        <v>8499</v>
      </c>
      <c r="R558" s="17">
        <v>69.67</v>
      </c>
      <c r="S558" s="18">
        <v>2964.4354999999996</v>
      </c>
      <c r="T558" s="19" t="s">
        <v>36</v>
      </c>
      <c r="U558" s="20" t="s">
        <v>814</v>
      </c>
      <c r="V558" s="28">
        <v>36.5</v>
      </c>
      <c r="W558" s="22">
        <v>7</v>
      </c>
      <c r="X558" s="23"/>
    </row>
    <row r="559" spans="1:24" s="1" customFormat="1" ht="26.1" customHeight="1" x14ac:dyDescent="0.3">
      <c r="A559" s="24" t="s">
        <v>23</v>
      </c>
      <c r="B559" s="24" t="s">
        <v>815</v>
      </c>
      <c r="C559" s="12" t="s">
        <v>826</v>
      </c>
      <c r="D559" s="55"/>
      <c r="E559" s="39" t="str">
        <f>HYPERLINK("https://www.google.ru/search?q=3024889-500&amp;newwindow=1&amp;tbm=isch","Еще фото")</f>
        <v>Еще фото</v>
      </c>
      <c r="F559" s="13"/>
      <c r="G559" s="24" t="s">
        <v>808</v>
      </c>
      <c r="H559" s="24" t="s">
        <v>593</v>
      </c>
      <c r="I559" s="24" t="s">
        <v>809</v>
      </c>
      <c r="J559" s="14" t="s">
        <v>29</v>
      </c>
      <c r="K559" s="15" t="s">
        <v>64</v>
      </c>
      <c r="L559" s="58"/>
      <c r="M559" s="14" t="s">
        <v>811</v>
      </c>
      <c r="N559" s="14" t="s">
        <v>67</v>
      </c>
      <c r="O559" s="14"/>
      <c r="P559" s="15" t="s">
        <v>827</v>
      </c>
      <c r="Q559" s="16">
        <v>8499</v>
      </c>
      <c r="R559" s="17">
        <v>69.67</v>
      </c>
      <c r="S559" s="18">
        <v>2964.4354999999996</v>
      </c>
      <c r="T559" s="19" t="s">
        <v>36</v>
      </c>
      <c r="U559" s="20" t="s">
        <v>598</v>
      </c>
      <c r="V559" s="22">
        <v>37</v>
      </c>
      <c r="W559" s="22">
        <v>7</v>
      </c>
      <c r="X559" s="23"/>
    </row>
    <row r="560" spans="1:24" s="1" customFormat="1" ht="108" customHeight="1" x14ac:dyDescent="0.3">
      <c r="A560" s="11" t="s">
        <v>23</v>
      </c>
      <c r="B560" s="11" t="s">
        <v>828</v>
      </c>
      <c r="C560" s="12" t="s">
        <v>829</v>
      </c>
      <c r="D560" s="25"/>
      <c r="E560" s="39" t="str">
        <f>HYPERLINK("https://www.google.ru/search?q=3020194-101&amp;newwindow=1&amp;tbm=isch","Еще фото")</f>
        <v>Еще фото</v>
      </c>
      <c r="F560" s="13"/>
      <c r="G560" s="11" t="s">
        <v>808</v>
      </c>
      <c r="H560" s="11" t="s">
        <v>593</v>
      </c>
      <c r="I560" s="14" t="s">
        <v>809</v>
      </c>
      <c r="J560" s="14" t="s">
        <v>29</v>
      </c>
      <c r="K560" s="15" t="s">
        <v>64</v>
      </c>
      <c r="L560" s="14" t="s">
        <v>830</v>
      </c>
      <c r="M560" s="14"/>
      <c r="N560" s="14" t="s">
        <v>84</v>
      </c>
      <c r="O560" s="14" t="s">
        <v>831</v>
      </c>
      <c r="P560" s="15" t="s">
        <v>832</v>
      </c>
      <c r="Q560" s="16">
        <v>8090</v>
      </c>
      <c r="R560" s="17">
        <v>67.02</v>
      </c>
      <c r="S560" s="18">
        <v>3067.9354999999996</v>
      </c>
      <c r="T560" s="19" t="s">
        <v>36</v>
      </c>
      <c r="U560" s="20" t="s">
        <v>820</v>
      </c>
      <c r="V560" s="22">
        <v>36</v>
      </c>
      <c r="W560" s="22">
        <v>5</v>
      </c>
      <c r="X560" s="23"/>
    </row>
    <row r="561" spans="1:24" s="1" customFormat="1" ht="108" customHeight="1" x14ac:dyDescent="0.3">
      <c r="A561" s="11" t="s">
        <v>23</v>
      </c>
      <c r="B561" s="11" t="s">
        <v>833</v>
      </c>
      <c r="C561" s="12" t="s">
        <v>834</v>
      </c>
      <c r="D561" s="25"/>
      <c r="E561" s="39" t="str">
        <f>HYPERLINK("https://www.google.ru/search?q=3024233-001&amp;newwindow=1&amp;tbm=isch","Еще фото")</f>
        <v>Еще фото</v>
      </c>
      <c r="F561" s="13"/>
      <c r="G561" s="11" t="s">
        <v>808</v>
      </c>
      <c r="H561" s="11" t="s">
        <v>593</v>
      </c>
      <c r="I561" s="14" t="s">
        <v>809</v>
      </c>
      <c r="J561" s="14" t="s">
        <v>29</v>
      </c>
      <c r="K561" s="15" t="s">
        <v>64</v>
      </c>
      <c r="L561" s="14" t="s">
        <v>835</v>
      </c>
      <c r="M561" s="14" t="s">
        <v>836</v>
      </c>
      <c r="N561" s="14" t="s">
        <v>33</v>
      </c>
      <c r="O561" s="14" t="s">
        <v>34</v>
      </c>
      <c r="P561" s="15" t="s">
        <v>837</v>
      </c>
      <c r="Q561" s="16">
        <v>22999</v>
      </c>
      <c r="R561" s="17">
        <v>67.010000000000005</v>
      </c>
      <c r="S561" s="18">
        <v>8725.9354999999996</v>
      </c>
      <c r="T561" s="19" t="s">
        <v>36</v>
      </c>
      <c r="U561" s="20" t="s">
        <v>814</v>
      </c>
      <c r="V561" s="28">
        <v>36.5</v>
      </c>
      <c r="W561" s="22">
        <v>4</v>
      </c>
      <c r="X561" s="23"/>
    </row>
    <row r="562" spans="1:24" s="1" customFormat="1" ht="108" customHeight="1" x14ac:dyDescent="0.3">
      <c r="A562" s="11" t="s">
        <v>23</v>
      </c>
      <c r="B562" s="11" t="s">
        <v>838</v>
      </c>
      <c r="C562" s="12" t="s">
        <v>839</v>
      </c>
      <c r="D562" s="25"/>
      <c r="E562" s="39" t="str">
        <f>HYPERLINK("https://www.google.ru/search?q=3027206-200&amp;newwindow=1&amp;tbm=isch","Еще фото")</f>
        <v>Еще фото</v>
      </c>
      <c r="F562" s="13"/>
      <c r="G562" s="11" t="s">
        <v>808</v>
      </c>
      <c r="H562" s="11" t="s">
        <v>593</v>
      </c>
      <c r="I562" s="14" t="s">
        <v>809</v>
      </c>
      <c r="J562" s="14" t="s">
        <v>840</v>
      </c>
      <c r="K562" s="15" t="s">
        <v>30</v>
      </c>
      <c r="L562" s="14" t="s">
        <v>841</v>
      </c>
      <c r="M562" s="14"/>
      <c r="N562" s="14" t="s">
        <v>249</v>
      </c>
      <c r="O562" s="14"/>
      <c r="P562" s="15" t="s">
        <v>842</v>
      </c>
      <c r="Q562" s="16">
        <v>12599</v>
      </c>
      <c r="R562" s="17">
        <v>66.92</v>
      </c>
      <c r="S562" s="18">
        <v>4792.9355000000005</v>
      </c>
      <c r="T562" s="19" t="s">
        <v>36</v>
      </c>
      <c r="U562" s="20" t="s">
        <v>599</v>
      </c>
      <c r="V562" s="28">
        <v>39.5</v>
      </c>
      <c r="W562" s="22">
        <v>2</v>
      </c>
      <c r="X562" s="23"/>
    </row>
    <row r="563" spans="1:24" s="1" customFormat="1" ht="26.1" customHeight="1" x14ac:dyDescent="0.3">
      <c r="A563" s="11" t="s">
        <v>23</v>
      </c>
      <c r="B563" s="11" t="s">
        <v>843</v>
      </c>
      <c r="C563" s="12" t="s">
        <v>844</v>
      </c>
      <c r="D563" s="53"/>
      <c r="E563" s="39" t="str">
        <f>HYPERLINK("https://www.google.ru/search?q=3025060-001&amp;newwindow=1&amp;tbm=isch","Еще фото")</f>
        <v>Еще фото</v>
      </c>
      <c r="F563" s="13"/>
      <c r="G563" s="11" t="s">
        <v>808</v>
      </c>
      <c r="H563" s="11" t="s">
        <v>593</v>
      </c>
      <c r="I563" s="14" t="s">
        <v>809</v>
      </c>
      <c r="J563" s="14" t="s">
        <v>29</v>
      </c>
      <c r="K563" s="15" t="s">
        <v>64</v>
      </c>
      <c r="L563" s="56" t="s">
        <v>845</v>
      </c>
      <c r="M563" s="14" t="s">
        <v>811</v>
      </c>
      <c r="N563" s="14" t="s">
        <v>33</v>
      </c>
      <c r="O563" s="14" t="s">
        <v>34</v>
      </c>
      <c r="P563" s="15" t="s">
        <v>846</v>
      </c>
      <c r="Q563" s="16">
        <v>9999</v>
      </c>
      <c r="R563" s="17">
        <v>66.92</v>
      </c>
      <c r="S563" s="18">
        <v>3803.9354999999996</v>
      </c>
      <c r="T563" s="19" t="s">
        <v>36</v>
      </c>
      <c r="U563" s="20" t="s">
        <v>820</v>
      </c>
      <c r="V563" s="22">
        <v>36</v>
      </c>
      <c r="W563" s="22">
        <v>3</v>
      </c>
      <c r="X563" s="23"/>
    </row>
    <row r="564" spans="1:24" s="1" customFormat="1" ht="26.1" customHeight="1" x14ac:dyDescent="0.3">
      <c r="A564" s="24" t="s">
        <v>23</v>
      </c>
      <c r="B564" s="24" t="s">
        <v>843</v>
      </c>
      <c r="C564" s="12" t="s">
        <v>844</v>
      </c>
      <c r="D564" s="54"/>
      <c r="E564" s="39" t="str">
        <f>HYPERLINK("https://www.google.ru/search?q=3025060-001&amp;newwindow=1&amp;tbm=isch","Еще фото")</f>
        <v>Еще фото</v>
      </c>
      <c r="F564" s="13"/>
      <c r="G564" s="24" t="s">
        <v>808</v>
      </c>
      <c r="H564" s="24" t="s">
        <v>593</v>
      </c>
      <c r="I564" s="24" t="s">
        <v>809</v>
      </c>
      <c r="J564" s="14" t="s">
        <v>29</v>
      </c>
      <c r="K564" s="15" t="s">
        <v>64</v>
      </c>
      <c r="L564" s="57"/>
      <c r="M564" s="14" t="s">
        <v>811</v>
      </c>
      <c r="N564" s="14" t="s">
        <v>33</v>
      </c>
      <c r="O564" s="14" t="s">
        <v>34</v>
      </c>
      <c r="P564" s="15" t="s">
        <v>846</v>
      </c>
      <c r="Q564" s="16">
        <v>9999</v>
      </c>
      <c r="R564" s="17">
        <v>66.92</v>
      </c>
      <c r="S564" s="18">
        <v>3803.9354999999996</v>
      </c>
      <c r="T564" s="19" t="s">
        <v>36</v>
      </c>
      <c r="U564" s="20" t="s">
        <v>814</v>
      </c>
      <c r="V564" s="28">
        <v>36.5</v>
      </c>
      <c r="W564" s="22">
        <v>16</v>
      </c>
      <c r="X564" s="23"/>
    </row>
    <row r="565" spans="1:24" s="1" customFormat="1" ht="26.1" customHeight="1" x14ac:dyDescent="0.3">
      <c r="A565" s="24" t="s">
        <v>23</v>
      </c>
      <c r="B565" s="24" t="s">
        <v>843</v>
      </c>
      <c r="C565" s="12" t="s">
        <v>844</v>
      </c>
      <c r="D565" s="54"/>
      <c r="E565" s="39" t="str">
        <f>HYPERLINK("https://www.google.ru/search?q=3025060-001&amp;newwindow=1&amp;tbm=isch","Еще фото")</f>
        <v>Еще фото</v>
      </c>
      <c r="F565" s="13"/>
      <c r="G565" s="24" t="s">
        <v>808</v>
      </c>
      <c r="H565" s="24" t="s">
        <v>593</v>
      </c>
      <c r="I565" s="24" t="s">
        <v>809</v>
      </c>
      <c r="J565" s="14" t="s">
        <v>29</v>
      </c>
      <c r="K565" s="15" t="s">
        <v>64</v>
      </c>
      <c r="L565" s="57"/>
      <c r="M565" s="14" t="s">
        <v>811</v>
      </c>
      <c r="N565" s="14" t="s">
        <v>33</v>
      </c>
      <c r="O565" s="14" t="s">
        <v>34</v>
      </c>
      <c r="P565" s="15" t="s">
        <v>846</v>
      </c>
      <c r="Q565" s="16">
        <v>9999</v>
      </c>
      <c r="R565" s="17">
        <v>66.92</v>
      </c>
      <c r="S565" s="18">
        <v>3803.9354999999996</v>
      </c>
      <c r="T565" s="19" t="s">
        <v>36</v>
      </c>
      <c r="U565" s="20" t="s">
        <v>598</v>
      </c>
      <c r="V565" s="22">
        <v>37</v>
      </c>
      <c r="W565" s="22">
        <v>20</v>
      </c>
      <c r="X565" s="23"/>
    </row>
    <row r="566" spans="1:24" s="1" customFormat="1" ht="26.1" customHeight="1" x14ac:dyDescent="0.3">
      <c r="A566" s="24" t="s">
        <v>23</v>
      </c>
      <c r="B566" s="24" t="s">
        <v>843</v>
      </c>
      <c r="C566" s="12" t="s">
        <v>844</v>
      </c>
      <c r="D566" s="55"/>
      <c r="E566" s="39" t="str">
        <f>HYPERLINK("https://www.google.ru/search?q=3025060-001&amp;newwindow=1&amp;tbm=isch","Еще фото")</f>
        <v>Еще фото</v>
      </c>
      <c r="F566" s="13"/>
      <c r="G566" s="24" t="s">
        <v>808</v>
      </c>
      <c r="H566" s="24" t="s">
        <v>593</v>
      </c>
      <c r="I566" s="24" t="s">
        <v>809</v>
      </c>
      <c r="J566" s="14" t="s">
        <v>29</v>
      </c>
      <c r="K566" s="15" t="s">
        <v>64</v>
      </c>
      <c r="L566" s="58"/>
      <c r="M566" s="14" t="s">
        <v>811</v>
      </c>
      <c r="N566" s="14" t="s">
        <v>33</v>
      </c>
      <c r="O566" s="14" t="s">
        <v>34</v>
      </c>
      <c r="P566" s="15" t="s">
        <v>846</v>
      </c>
      <c r="Q566" s="16">
        <v>9999</v>
      </c>
      <c r="R566" s="17">
        <v>66.92</v>
      </c>
      <c r="S566" s="18">
        <v>3803.9354999999996</v>
      </c>
      <c r="T566" s="19" t="s">
        <v>36</v>
      </c>
      <c r="U566" s="20" t="s">
        <v>599</v>
      </c>
      <c r="V566" s="28">
        <v>37.5</v>
      </c>
      <c r="W566" s="22">
        <v>9</v>
      </c>
      <c r="X566" s="23"/>
    </row>
    <row r="567" spans="1:24" s="1" customFormat="1" ht="51.95" customHeight="1" x14ac:dyDescent="0.3">
      <c r="A567" s="11" t="s">
        <v>23</v>
      </c>
      <c r="B567" s="11" t="s">
        <v>847</v>
      </c>
      <c r="C567" s="12" t="s">
        <v>848</v>
      </c>
      <c r="D567" s="59"/>
      <c r="E567" s="39" t="str">
        <f>HYPERLINK("https://www.google.ru/search?q=3028169-100&amp;newwindow=1&amp;tbm=isch","Еще фото")</f>
        <v>Еще фото</v>
      </c>
      <c r="F567" s="13"/>
      <c r="G567" s="11" t="s">
        <v>808</v>
      </c>
      <c r="H567" s="11" t="s">
        <v>593</v>
      </c>
      <c r="I567" s="14" t="s">
        <v>809</v>
      </c>
      <c r="J567" s="14" t="s">
        <v>29</v>
      </c>
      <c r="K567" s="15" t="s">
        <v>30</v>
      </c>
      <c r="L567" s="56" t="s">
        <v>849</v>
      </c>
      <c r="M567" s="14" t="s">
        <v>824</v>
      </c>
      <c r="N567" s="14" t="s">
        <v>74</v>
      </c>
      <c r="O567" s="14"/>
      <c r="P567" s="15" t="s">
        <v>597</v>
      </c>
      <c r="Q567" s="16">
        <v>20999</v>
      </c>
      <c r="R567" s="17">
        <v>66.87</v>
      </c>
      <c r="S567" s="18">
        <v>8001.4354999999996</v>
      </c>
      <c r="T567" s="19" t="s">
        <v>36</v>
      </c>
      <c r="U567" s="20" t="s">
        <v>604</v>
      </c>
      <c r="V567" s="22">
        <v>43</v>
      </c>
      <c r="W567" s="22">
        <v>2</v>
      </c>
      <c r="X567" s="23"/>
    </row>
    <row r="568" spans="1:24" s="1" customFormat="1" ht="60.95" customHeight="1" x14ac:dyDescent="0.3">
      <c r="A568" s="24" t="s">
        <v>23</v>
      </c>
      <c r="B568" s="24" t="s">
        <v>847</v>
      </c>
      <c r="C568" s="12" t="s">
        <v>848</v>
      </c>
      <c r="D568" s="60"/>
      <c r="E568" s="39" t="str">
        <f>HYPERLINK("https://www.google.ru/search?q=3028169-100&amp;newwindow=1&amp;tbm=isch","Еще фото")</f>
        <v>Еще фото</v>
      </c>
      <c r="F568" s="13"/>
      <c r="G568" s="24" t="s">
        <v>808</v>
      </c>
      <c r="H568" s="24" t="s">
        <v>593</v>
      </c>
      <c r="I568" s="24" t="s">
        <v>809</v>
      </c>
      <c r="J568" s="14" t="s">
        <v>29</v>
      </c>
      <c r="K568" s="15" t="s">
        <v>30</v>
      </c>
      <c r="L568" s="58"/>
      <c r="M568" s="14" t="s">
        <v>824</v>
      </c>
      <c r="N568" s="14" t="s">
        <v>74</v>
      </c>
      <c r="O568" s="14"/>
      <c r="P568" s="15" t="s">
        <v>597</v>
      </c>
      <c r="Q568" s="16">
        <v>20999</v>
      </c>
      <c r="R568" s="17">
        <v>66.87</v>
      </c>
      <c r="S568" s="18">
        <v>8001.4354999999996</v>
      </c>
      <c r="T568" s="19" t="s">
        <v>36</v>
      </c>
      <c r="U568" s="20" t="s">
        <v>605</v>
      </c>
      <c r="V568" s="28">
        <v>43.5</v>
      </c>
      <c r="W568" s="22">
        <v>2</v>
      </c>
      <c r="X568" s="23"/>
    </row>
    <row r="569" spans="1:24" s="1" customFormat="1" ht="26.1" customHeight="1" x14ac:dyDescent="0.3">
      <c r="A569" s="11" t="s">
        <v>23</v>
      </c>
      <c r="B569" s="11" t="s">
        <v>850</v>
      </c>
      <c r="C569" s="12" t="s">
        <v>851</v>
      </c>
      <c r="D569" s="53"/>
      <c r="E569" s="39" t="str">
        <f>HYPERLINK("https://www.google.ru/search?q=3026736-300&amp;newwindow=1&amp;tbm=isch","Еще фото")</f>
        <v>Еще фото</v>
      </c>
      <c r="F569" s="13"/>
      <c r="G569" s="11" t="s">
        <v>808</v>
      </c>
      <c r="H569" s="11" t="s">
        <v>593</v>
      </c>
      <c r="I569" s="14" t="s">
        <v>809</v>
      </c>
      <c r="J569" s="14" t="s">
        <v>840</v>
      </c>
      <c r="K569" s="15" t="s">
        <v>30</v>
      </c>
      <c r="L569" s="56" t="s">
        <v>852</v>
      </c>
      <c r="M569" s="14" t="s">
        <v>853</v>
      </c>
      <c r="N569" s="14" t="s">
        <v>91</v>
      </c>
      <c r="O569" s="14"/>
      <c r="P569" s="15" t="s">
        <v>854</v>
      </c>
      <c r="Q569" s="16">
        <v>27999</v>
      </c>
      <c r="R569" s="17">
        <v>66.86</v>
      </c>
      <c r="S569" s="18">
        <v>10669.4355</v>
      </c>
      <c r="T569" s="19" t="s">
        <v>36</v>
      </c>
      <c r="U569" s="20" t="s">
        <v>599</v>
      </c>
      <c r="V569" s="28">
        <v>39.5</v>
      </c>
      <c r="W569" s="22">
        <v>3</v>
      </c>
      <c r="X569" s="23"/>
    </row>
    <row r="570" spans="1:24" s="1" customFormat="1" ht="26.1" customHeight="1" x14ac:dyDescent="0.3">
      <c r="A570" s="24" t="s">
        <v>23</v>
      </c>
      <c r="B570" s="24" t="s">
        <v>850</v>
      </c>
      <c r="C570" s="12" t="s">
        <v>851</v>
      </c>
      <c r="D570" s="54"/>
      <c r="E570" s="39" t="str">
        <f>HYPERLINK("https://www.google.ru/search?q=3026736-300&amp;newwindow=1&amp;tbm=isch","Еще фото")</f>
        <v>Еще фото</v>
      </c>
      <c r="F570" s="13"/>
      <c r="G570" s="24" t="s">
        <v>808</v>
      </c>
      <c r="H570" s="24" t="s">
        <v>593</v>
      </c>
      <c r="I570" s="24" t="s">
        <v>809</v>
      </c>
      <c r="J570" s="14" t="s">
        <v>840</v>
      </c>
      <c r="K570" s="15" t="s">
        <v>30</v>
      </c>
      <c r="L570" s="57"/>
      <c r="M570" s="14" t="s">
        <v>853</v>
      </c>
      <c r="N570" s="14" t="s">
        <v>91</v>
      </c>
      <c r="O570" s="14"/>
      <c r="P570" s="15" t="s">
        <v>854</v>
      </c>
      <c r="Q570" s="16">
        <v>27999</v>
      </c>
      <c r="R570" s="17">
        <v>66.86</v>
      </c>
      <c r="S570" s="18">
        <v>10669.4355</v>
      </c>
      <c r="T570" s="19" t="s">
        <v>36</v>
      </c>
      <c r="U570" s="20" t="s">
        <v>600</v>
      </c>
      <c r="V570" s="22">
        <v>40</v>
      </c>
      <c r="W570" s="22">
        <v>7</v>
      </c>
      <c r="X570" s="23"/>
    </row>
    <row r="571" spans="1:24" s="1" customFormat="1" ht="26.1" customHeight="1" x14ac:dyDescent="0.3">
      <c r="A571" s="24" t="s">
        <v>23</v>
      </c>
      <c r="B571" s="24" t="s">
        <v>850</v>
      </c>
      <c r="C571" s="12" t="s">
        <v>851</v>
      </c>
      <c r="D571" s="54"/>
      <c r="E571" s="39" t="str">
        <f>HYPERLINK("https://www.google.ru/search?q=3026736-300&amp;newwindow=1&amp;tbm=isch","Еще фото")</f>
        <v>Еще фото</v>
      </c>
      <c r="F571" s="13"/>
      <c r="G571" s="24" t="s">
        <v>808</v>
      </c>
      <c r="H571" s="24" t="s">
        <v>593</v>
      </c>
      <c r="I571" s="24" t="s">
        <v>809</v>
      </c>
      <c r="J571" s="14" t="s">
        <v>840</v>
      </c>
      <c r="K571" s="15" t="s">
        <v>30</v>
      </c>
      <c r="L571" s="57"/>
      <c r="M571" s="14" t="s">
        <v>853</v>
      </c>
      <c r="N571" s="14" t="s">
        <v>91</v>
      </c>
      <c r="O571" s="14"/>
      <c r="P571" s="15" t="s">
        <v>854</v>
      </c>
      <c r="Q571" s="16">
        <v>27999</v>
      </c>
      <c r="R571" s="17">
        <v>66.86</v>
      </c>
      <c r="S571" s="18">
        <v>10669.4355</v>
      </c>
      <c r="T571" s="19" t="s">
        <v>36</v>
      </c>
      <c r="U571" s="20" t="s">
        <v>601</v>
      </c>
      <c r="V571" s="22">
        <v>41</v>
      </c>
      <c r="W571" s="22">
        <v>4</v>
      </c>
      <c r="X571" s="23"/>
    </row>
    <row r="572" spans="1:24" s="1" customFormat="1" ht="26.1" customHeight="1" x14ac:dyDescent="0.3">
      <c r="A572" s="24" t="s">
        <v>23</v>
      </c>
      <c r="B572" s="24" t="s">
        <v>850</v>
      </c>
      <c r="C572" s="12" t="s">
        <v>851</v>
      </c>
      <c r="D572" s="55"/>
      <c r="E572" s="39" t="str">
        <f>HYPERLINK("https://www.google.ru/search?q=3026736-300&amp;newwindow=1&amp;tbm=isch","Еще фото")</f>
        <v>Еще фото</v>
      </c>
      <c r="F572" s="13"/>
      <c r="G572" s="24" t="s">
        <v>808</v>
      </c>
      <c r="H572" s="24" t="s">
        <v>593</v>
      </c>
      <c r="I572" s="24" t="s">
        <v>809</v>
      </c>
      <c r="J572" s="14" t="s">
        <v>840</v>
      </c>
      <c r="K572" s="15" t="s">
        <v>30</v>
      </c>
      <c r="L572" s="58"/>
      <c r="M572" s="14" t="s">
        <v>853</v>
      </c>
      <c r="N572" s="14" t="s">
        <v>91</v>
      </c>
      <c r="O572" s="14"/>
      <c r="P572" s="15" t="s">
        <v>854</v>
      </c>
      <c r="Q572" s="16">
        <v>27999</v>
      </c>
      <c r="R572" s="17">
        <v>66.86</v>
      </c>
      <c r="S572" s="18">
        <v>10669.4355</v>
      </c>
      <c r="T572" s="19" t="s">
        <v>36</v>
      </c>
      <c r="U572" s="20" t="s">
        <v>602</v>
      </c>
      <c r="V572" s="28">
        <v>41.5</v>
      </c>
      <c r="W572" s="22">
        <v>7</v>
      </c>
      <c r="X572" s="23"/>
    </row>
    <row r="573" spans="1:24" s="1" customFormat="1" ht="108" customHeight="1" x14ac:dyDescent="0.3">
      <c r="A573" s="11" t="s">
        <v>23</v>
      </c>
      <c r="B573" s="11" t="s">
        <v>855</v>
      </c>
      <c r="C573" s="12" t="s">
        <v>856</v>
      </c>
      <c r="D573" s="25"/>
      <c r="E573" s="39" t="str">
        <f>HYPERLINK("https://www.google.ru/search?q=3024191-001&amp;newwindow=1&amp;tbm=isch","Еще фото")</f>
        <v>Еще фото</v>
      </c>
      <c r="F573" s="13"/>
      <c r="G573" s="11" t="s">
        <v>808</v>
      </c>
      <c r="H573" s="11" t="s">
        <v>593</v>
      </c>
      <c r="I573" s="14" t="s">
        <v>809</v>
      </c>
      <c r="J573" s="14" t="s">
        <v>29</v>
      </c>
      <c r="K573" s="15" t="s">
        <v>64</v>
      </c>
      <c r="L573" s="14" t="s">
        <v>857</v>
      </c>
      <c r="M573" s="14"/>
      <c r="N573" s="14" t="s">
        <v>33</v>
      </c>
      <c r="O573" s="14"/>
      <c r="P573" s="15" t="s">
        <v>858</v>
      </c>
      <c r="Q573" s="16">
        <v>14899</v>
      </c>
      <c r="R573" s="17">
        <v>66.86</v>
      </c>
      <c r="S573" s="18">
        <v>5678.4355000000005</v>
      </c>
      <c r="T573" s="19" t="s">
        <v>36</v>
      </c>
      <c r="U573" s="20" t="s">
        <v>820</v>
      </c>
      <c r="V573" s="22">
        <v>36</v>
      </c>
      <c r="W573" s="22">
        <v>5</v>
      </c>
      <c r="X573" s="23"/>
    </row>
    <row r="574" spans="1:24" s="1" customFormat="1" ht="26.1" customHeight="1" x14ac:dyDescent="0.3">
      <c r="A574" s="11" t="s">
        <v>23</v>
      </c>
      <c r="B574" s="11" t="s">
        <v>859</v>
      </c>
      <c r="C574" s="12" t="s">
        <v>860</v>
      </c>
      <c r="D574" s="53"/>
      <c r="E574" s="39" t="str">
        <f>HYPERLINK("https://www.google.ru/search?q=3025524-002&amp;newwindow=1&amp;tbm=isch","Еще фото")</f>
        <v>Еще фото</v>
      </c>
      <c r="F574" s="13"/>
      <c r="G574" s="11" t="s">
        <v>808</v>
      </c>
      <c r="H574" s="11" t="s">
        <v>593</v>
      </c>
      <c r="I574" s="14" t="s">
        <v>809</v>
      </c>
      <c r="J574" s="14" t="s">
        <v>29</v>
      </c>
      <c r="K574" s="15" t="s">
        <v>64</v>
      </c>
      <c r="L574" s="56" t="s">
        <v>861</v>
      </c>
      <c r="M574" s="14" t="s">
        <v>32</v>
      </c>
      <c r="N574" s="14" t="s">
        <v>84</v>
      </c>
      <c r="O574" s="14"/>
      <c r="P574" s="15" t="s">
        <v>862</v>
      </c>
      <c r="Q574" s="16">
        <v>11999</v>
      </c>
      <c r="R574" s="17">
        <v>66.849999999999994</v>
      </c>
      <c r="S574" s="18">
        <v>4574.4354999999996</v>
      </c>
      <c r="T574" s="19" t="s">
        <v>36</v>
      </c>
      <c r="U574" s="20" t="s">
        <v>863</v>
      </c>
      <c r="V574" s="22">
        <v>35</v>
      </c>
      <c r="W574" s="22">
        <v>1</v>
      </c>
      <c r="X574" s="23"/>
    </row>
    <row r="575" spans="1:24" s="1" customFormat="1" ht="26.1" customHeight="1" x14ac:dyDescent="0.3">
      <c r="A575" s="24" t="s">
        <v>23</v>
      </c>
      <c r="B575" s="24" t="s">
        <v>859</v>
      </c>
      <c r="C575" s="12" t="s">
        <v>860</v>
      </c>
      <c r="D575" s="54"/>
      <c r="E575" s="39" t="str">
        <f>HYPERLINK("https://www.google.ru/search?q=3025524-002&amp;newwindow=1&amp;tbm=isch","Еще фото")</f>
        <v>Еще фото</v>
      </c>
      <c r="F575" s="13"/>
      <c r="G575" s="24" t="s">
        <v>808</v>
      </c>
      <c r="H575" s="24" t="s">
        <v>593</v>
      </c>
      <c r="I575" s="24" t="s">
        <v>809</v>
      </c>
      <c r="J575" s="14" t="s">
        <v>29</v>
      </c>
      <c r="K575" s="15" t="s">
        <v>64</v>
      </c>
      <c r="L575" s="57"/>
      <c r="M575" s="14" t="s">
        <v>32</v>
      </c>
      <c r="N575" s="14" t="s">
        <v>84</v>
      </c>
      <c r="O575" s="14"/>
      <c r="P575" s="15" t="s">
        <v>862</v>
      </c>
      <c r="Q575" s="16">
        <v>11999</v>
      </c>
      <c r="R575" s="17">
        <v>66.849999999999994</v>
      </c>
      <c r="S575" s="18">
        <v>4574.4354999999996</v>
      </c>
      <c r="T575" s="19" t="s">
        <v>36</v>
      </c>
      <c r="U575" s="20" t="s">
        <v>813</v>
      </c>
      <c r="V575" s="28">
        <v>35.5</v>
      </c>
      <c r="W575" s="22">
        <v>12</v>
      </c>
      <c r="X575" s="23"/>
    </row>
    <row r="576" spans="1:24" s="1" customFormat="1" ht="26.1" customHeight="1" x14ac:dyDescent="0.3">
      <c r="A576" s="24" t="s">
        <v>23</v>
      </c>
      <c r="B576" s="24" t="s">
        <v>859</v>
      </c>
      <c r="C576" s="12" t="s">
        <v>860</v>
      </c>
      <c r="D576" s="54"/>
      <c r="E576" s="39" t="str">
        <f>HYPERLINK("https://www.google.ru/search?q=3025524-002&amp;newwindow=1&amp;tbm=isch","Еще фото")</f>
        <v>Еще фото</v>
      </c>
      <c r="F576" s="13"/>
      <c r="G576" s="24" t="s">
        <v>808</v>
      </c>
      <c r="H576" s="24" t="s">
        <v>593</v>
      </c>
      <c r="I576" s="24" t="s">
        <v>809</v>
      </c>
      <c r="J576" s="14" t="s">
        <v>29</v>
      </c>
      <c r="K576" s="15" t="s">
        <v>64</v>
      </c>
      <c r="L576" s="57"/>
      <c r="M576" s="14" t="s">
        <v>32</v>
      </c>
      <c r="N576" s="14" t="s">
        <v>84</v>
      </c>
      <c r="O576" s="14"/>
      <c r="P576" s="15" t="s">
        <v>862</v>
      </c>
      <c r="Q576" s="16">
        <v>11999</v>
      </c>
      <c r="R576" s="17">
        <v>66.849999999999994</v>
      </c>
      <c r="S576" s="18">
        <v>4574.4354999999996</v>
      </c>
      <c r="T576" s="19" t="s">
        <v>36</v>
      </c>
      <c r="U576" s="20" t="s">
        <v>820</v>
      </c>
      <c r="V576" s="22">
        <v>36</v>
      </c>
      <c r="W576" s="22">
        <v>21</v>
      </c>
      <c r="X576" s="23"/>
    </row>
    <row r="577" spans="1:24" s="1" customFormat="1" ht="26.1" customHeight="1" x14ac:dyDescent="0.3">
      <c r="A577" s="24" t="s">
        <v>23</v>
      </c>
      <c r="B577" s="24" t="s">
        <v>859</v>
      </c>
      <c r="C577" s="12" t="s">
        <v>860</v>
      </c>
      <c r="D577" s="55"/>
      <c r="E577" s="39" t="str">
        <f>HYPERLINK("https://www.google.ru/search?q=3025524-002&amp;newwindow=1&amp;tbm=isch","Еще фото")</f>
        <v>Еще фото</v>
      </c>
      <c r="F577" s="13"/>
      <c r="G577" s="24" t="s">
        <v>808</v>
      </c>
      <c r="H577" s="24" t="s">
        <v>593</v>
      </c>
      <c r="I577" s="24" t="s">
        <v>809</v>
      </c>
      <c r="J577" s="14" t="s">
        <v>29</v>
      </c>
      <c r="K577" s="15" t="s">
        <v>64</v>
      </c>
      <c r="L577" s="58"/>
      <c r="M577" s="14" t="s">
        <v>32</v>
      </c>
      <c r="N577" s="14" t="s">
        <v>84</v>
      </c>
      <c r="O577" s="14"/>
      <c r="P577" s="15" t="s">
        <v>862</v>
      </c>
      <c r="Q577" s="16">
        <v>11999</v>
      </c>
      <c r="R577" s="17">
        <v>66.849999999999994</v>
      </c>
      <c r="S577" s="18">
        <v>4574.4354999999996</v>
      </c>
      <c r="T577" s="19" t="s">
        <v>36</v>
      </c>
      <c r="U577" s="20" t="s">
        <v>814</v>
      </c>
      <c r="V577" s="28">
        <v>36.5</v>
      </c>
      <c r="W577" s="22">
        <v>9</v>
      </c>
      <c r="X577" s="23"/>
    </row>
    <row r="578" spans="1:24" s="1" customFormat="1" ht="21" customHeight="1" x14ac:dyDescent="0.3">
      <c r="A578" s="11" t="s">
        <v>23</v>
      </c>
      <c r="B578" s="11" t="s">
        <v>864</v>
      </c>
      <c r="C578" s="26" t="s">
        <v>865</v>
      </c>
      <c r="D578" s="53"/>
      <c r="E578" s="39" t="str">
        <f>HYPERLINK("https://www.google.ru/search?q=3026525-001&amp;newwindow=1&amp;tbm=isch","Еще фото")</f>
        <v>Еще фото</v>
      </c>
      <c r="F578" s="13"/>
      <c r="G578" s="11" t="s">
        <v>808</v>
      </c>
      <c r="H578" s="11" t="s">
        <v>593</v>
      </c>
      <c r="I578" s="14" t="s">
        <v>809</v>
      </c>
      <c r="J578" s="14" t="s">
        <v>29</v>
      </c>
      <c r="K578" s="15" t="s">
        <v>64</v>
      </c>
      <c r="L578" s="56" t="s">
        <v>866</v>
      </c>
      <c r="M578" s="14" t="s">
        <v>824</v>
      </c>
      <c r="N578" s="14" t="s">
        <v>33</v>
      </c>
      <c r="O578" s="14"/>
      <c r="P578" s="15" t="s">
        <v>597</v>
      </c>
      <c r="Q578" s="16">
        <v>13499</v>
      </c>
      <c r="R578" s="17">
        <v>66.83</v>
      </c>
      <c r="S578" s="18">
        <v>5149.4355000000005</v>
      </c>
      <c r="T578" s="19" t="s">
        <v>36</v>
      </c>
      <c r="U578" s="20" t="s">
        <v>863</v>
      </c>
      <c r="V578" s="22">
        <v>35</v>
      </c>
      <c r="W578" s="22">
        <v>1</v>
      </c>
      <c r="X578" s="23"/>
    </row>
    <row r="579" spans="1:24" s="1" customFormat="1" ht="21" customHeight="1" x14ac:dyDescent="0.3">
      <c r="A579" s="24" t="s">
        <v>23</v>
      </c>
      <c r="B579" s="24" t="s">
        <v>864</v>
      </c>
      <c r="C579" s="27" t="s">
        <v>865</v>
      </c>
      <c r="D579" s="54"/>
      <c r="E579" s="39" t="str">
        <f>HYPERLINK("https://www.google.ru/search?q=3026525-001&amp;newwindow=1&amp;tbm=isch","Еще фото")</f>
        <v>Еще фото</v>
      </c>
      <c r="F579" s="13"/>
      <c r="G579" s="24" t="s">
        <v>808</v>
      </c>
      <c r="H579" s="24" t="s">
        <v>593</v>
      </c>
      <c r="I579" s="24" t="s">
        <v>809</v>
      </c>
      <c r="J579" s="14" t="s">
        <v>29</v>
      </c>
      <c r="K579" s="15" t="s">
        <v>64</v>
      </c>
      <c r="L579" s="57"/>
      <c r="M579" s="14" t="s">
        <v>824</v>
      </c>
      <c r="N579" s="14" t="s">
        <v>33</v>
      </c>
      <c r="O579" s="14"/>
      <c r="P579" s="15" t="s">
        <v>597</v>
      </c>
      <c r="Q579" s="16">
        <v>13499</v>
      </c>
      <c r="R579" s="17">
        <v>66.83</v>
      </c>
      <c r="S579" s="18">
        <v>5149.4355000000005</v>
      </c>
      <c r="T579" s="19" t="s">
        <v>36</v>
      </c>
      <c r="U579" s="20" t="s">
        <v>813</v>
      </c>
      <c r="V579" s="28">
        <v>35.5</v>
      </c>
      <c r="W579" s="22">
        <v>7</v>
      </c>
      <c r="X579" s="23"/>
    </row>
    <row r="580" spans="1:24" s="1" customFormat="1" ht="21" customHeight="1" x14ac:dyDescent="0.3">
      <c r="A580" s="24" t="s">
        <v>23</v>
      </c>
      <c r="B580" s="24" t="s">
        <v>864</v>
      </c>
      <c r="C580" s="27" t="s">
        <v>865</v>
      </c>
      <c r="D580" s="54"/>
      <c r="E580" s="39" t="str">
        <f>HYPERLINK("https://www.google.ru/search?q=3026525-001&amp;newwindow=1&amp;tbm=isch","Еще фото")</f>
        <v>Еще фото</v>
      </c>
      <c r="F580" s="13"/>
      <c r="G580" s="24" t="s">
        <v>808</v>
      </c>
      <c r="H580" s="24" t="s">
        <v>593</v>
      </c>
      <c r="I580" s="24" t="s">
        <v>809</v>
      </c>
      <c r="J580" s="14" t="s">
        <v>29</v>
      </c>
      <c r="K580" s="15" t="s">
        <v>64</v>
      </c>
      <c r="L580" s="57"/>
      <c r="M580" s="14" t="s">
        <v>824</v>
      </c>
      <c r="N580" s="14" t="s">
        <v>33</v>
      </c>
      <c r="O580" s="14"/>
      <c r="P580" s="15" t="s">
        <v>597</v>
      </c>
      <c r="Q580" s="16">
        <v>13499</v>
      </c>
      <c r="R580" s="17">
        <v>66.83</v>
      </c>
      <c r="S580" s="18">
        <v>5149.4355000000005</v>
      </c>
      <c r="T580" s="19" t="s">
        <v>36</v>
      </c>
      <c r="U580" s="20" t="s">
        <v>814</v>
      </c>
      <c r="V580" s="28">
        <v>36.5</v>
      </c>
      <c r="W580" s="22">
        <v>13</v>
      </c>
      <c r="X580" s="23"/>
    </row>
    <row r="581" spans="1:24" s="1" customFormat="1" ht="21" customHeight="1" x14ac:dyDescent="0.3">
      <c r="A581" s="24" t="s">
        <v>23</v>
      </c>
      <c r="B581" s="24" t="s">
        <v>864</v>
      </c>
      <c r="C581" s="27" t="s">
        <v>865</v>
      </c>
      <c r="D581" s="54"/>
      <c r="E581" s="39" t="str">
        <f>HYPERLINK("https://www.google.ru/search?q=3026525-001&amp;newwindow=1&amp;tbm=isch","Еще фото")</f>
        <v>Еще фото</v>
      </c>
      <c r="F581" s="13"/>
      <c r="G581" s="24" t="s">
        <v>808</v>
      </c>
      <c r="H581" s="24" t="s">
        <v>593</v>
      </c>
      <c r="I581" s="24" t="s">
        <v>809</v>
      </c>
      <c r="J581" s="14" t="s">
        <v>29</v>
      </c>
      <c r="K581" s="15" t="s">
        <v>64</v>
      </c>
      <c r="L581" s="57"/>
      <c r="M581" s="14" t="s">
        <v>824</v>
      </c>
      <c r="N581" s="14" t="s">
        <v>33</v>
      </c>
      <c r="O581" s="14"/>
      <c r="P581" s="15" t="s">
        <v>597</v>
      </c>
      <c r="Q581" s="16">
        <v>13499</v>
      </c>
      <c r="R581" s="17">
        <v>66.83</v>
      </c>
      <c r="S581" s="18">
        <v>5149.4355000000005</v>
      </c>
      <c r="T581" s="19" t="s">
        <v>36</v>
      </c>
      <c r="U581" s="20" t="s">
        <v>598</v>
      </c>
      <c r="V581" s="22">
        <v>37</v>
      </c>
      <c r="W581" s="22">
        <v>8</v>
      </c>
      <c r="X581" s="23"/>
    </row>
    <row r="582" spans="1:24" s="1" customFormat="1" ht="32.1" customHeight="1" x14ac:dyDescent="0.3">
      <c r="A582" s="24" t="s">
        <v>23</v>
      </c>
      <c r="B582" s="24" t="s">
        <v>864</v>
      </c>
      <c r="C582" s="27" t="s">
        <v>865</v>
      </c>
      <c r="D582" s="55"/>
      <c r="E582" s="39" t="str">
        <f>HYPERLINK("https://www.google.ru/search?q=3026525-001&amp;newwindow=1&amp;tbm=isch","Еще фото")</f>
        <v>Еще фото</v>
      </c>
      <c r="F582" s="13"/>
      <c r="G582" s="24" t="s">
        <v>808</v>
      </c>
      <c r="H582" s="24" t="s">
        <v>593</v>
      </c>
      <c r="I582" s="24" t="s">
        <v>809</v>
      </c>
      <c r="J582" s="14" t="s">
        <v>29</v>
      </c>
      <c r="K582" s="15" t="s">
        <v>64</v>
      </c>
      <c r="L582" s="58"/>
      <c r="M582" s="14" t="s">
        <v>824</v>
      </c>
      <c r="N582" s="14" t="s">
        <v>33</v>
      </c>
      <c r="O582" s="14"/>
      <c r="P582" s="15" t="s">
        <v>597</v>
      </c>
      <c r="Q582" s="16">
        <v>13499</v>
      </c>
      <c r="R582" s="17">
        <v>66.83</v>
      </c>
      <c r="S582" s="18">
        <v>5149.4355000000005</v>
      </c>
      <c r="T582" s="19" t="s">
        <v>36</v>
      </c>
      <c r="U582" s="20" t="s">
        <v>600</v>
      </c>
      <c r="V582" s="22">
        <v>38</v>
      </c>
      <c r="W582" s="22">
        <v>4</v>
      </c>
      <c r="X582" s="23"/>
    </row>
    <row r="583" spans="1:24" s="1" customFormat="1" ht="14.1" customHeight="1" x14ac:dyDescent="0.3">
      <c r="A583" s="11" t="s">
        <v>23</v>
      </c>
      <c r="B583" s="11" t="s">
        <v>867</v>
      </c>
      <c r="C583" s="12" t="s">
        <v>868</v>
      </c>
      <c r="D583" s="53"/>
      <c r="E583" s="39" t="str">
        <f t="shared" ref="E583:E589" si="4">HYPERLINK("https://www.google.ru/search?q=3027524-001&amp;newwindow=1&amp;tbm=isch","Еще фото")</f>
        <v>Еще фото</v>
      </c>
      <c r="F583" s="13"/>
      <c r="G583" s="11" t="s">
        <v>808</v>
      </c>
      <c r="H583" s="11" t="s">
        <v>593</v>
      </c>
      <c r="I583" s="14" t="s">
        <v>809</v>
      </c>
      <c r="J583" s="14" t="s">
        <v>29</v>
      </c>
      <c r="K583" s="15" t="s">
        <v>64</v>
      </c>
      <c r="L583" s="56" t="s">
        <v>869</v>
      </c>
      <c r="M583" s="14" t="s">
        <v>824</v>
      </c>
      <c r="N583" s="14" t="s">
        <v>33</v>
      </c>
      <c r="O583" s="14"/>
      <c r="P583" s="15" t="s">
        <v>870</v>
      </c>
      <c r="Q583" s="16">
        <v>12999</v>
      </c>
      <c r="R583" s="17">
        <v>64.319999999999993</v>
      </c>
      <c r="S583" s="18">
        <v>5333.4355000000005</v>
      </c>
      <c r="T583" s="19" t="s">
        <v>36</v>
      </c>
      <c r="U583" s="20" t="s">
        <v>820</v>
      </c>
      <c r="V583" s="22">
        <v>36</v>
      </c>
      <c r="W583" s="22">
        <v>1</v>
      </c>
      <c r="X583" s="23"/>
    </row>
    <row r="584" spans="1:24" s="1" customFormat="1" ht="14.1" customHeight="1" x14ac:dyDescent="0.3">
      <c r="A584" s="24" t="s">
        <v>23</v>
      </c>
      <c r="B584" s="24" t="s">
        <v>867</v>
      </c>
      <c r="C584" s="12" t="s">
        <v>868</v>
      </c>
      <c r="D584" s="54"/>
      <c r="E584" s="39" t="str">
        <f t="shared" si="4"/>
        <v>Еще фото</v>
      </c>
      <c r="F584" s="13"/>
      <c r="G584" s="24" t="s">
        <v>808</v>
      </c>
      <c r="H584" s="24" t="s">
        <v>593</v>
      </c>
      <c r="I584" s="24" t="s">
        <v>809</v>
      </c>
      <c r="J584" s="14" t="s">
        <v>29</v>
      </c>
      <c r="K584" s="15" t="s">
        <v>64</v>
      </c>
      <c r="L584" s="57"/>
      <c r="M584" s="14" t="s">
        <v>824</v>
      </c>
      <c r="N584" s="14" t="s">
        <v>33</v>
      </c>
      <c r="O584" s="14"/>
      <c r="P584" s="15" t="s">
        <v>870</v>
      </c>
      <c r="Q584" s="16">
        <v>12999</v>
      </c>
      <c r="R584" s="17">
        <v>64.319999999999993</v>
      </c>
      <c r="S584" s="18">
        <v>5333.4355000000005</v>
      </c>
      <c r="T584" s="19" t="s">
        <v>36</v>
      </c>
      <c r="U584" s="20" t="s">
        <v>814</v>
      </c>
      <c r="V584" s="28">
        <v>36.5</v>
      </c>
      <c r="W584" s="22">
        <v>2</v>
      </c>
      <c r="X584" s="23"/>
    </row>
    <row r="585" spans="1:24" s="1" customFormat="1" ht="14.1" customHeight="1" x14ac:dyDescent="0.3">
      <c r="A585" s="24" t="s">
        <v>23</v>
      </c>
      <c r="B585" s="24" t="s">
        <v>867</v>
      </c>
      <c r="C585" s="12" t="s">
        <v>868</v>
      </c>
      <c r="D585" s="54"/>
      <c r="E585" s="39" t="str">
        <f t="shared" si="4"/>
        <v>Еще фото</v>
      </c>
      <c r="F585" s="13"/>
      <c r="G585" s="24" t="s">
        <v>808</v>
      </c>
      <c r="H585" s="24" t="s">
        <v>593</v>
      </c>
      <c r="I585" s="24" t="s">
        <v>809</v>
      </c>
      <c r="J585" s="14" t="s">
        <v>29</v>
      </c>
      <c r="K585" s="15" t="s">
        <v>64</v>
      </c>
      <c r="L585" s="57"/>
      <c r="M585" s="14" t="s">
        <v>824</v>
      </c>
      <c r="N585" s="14" t="s">
        <v>33</v>
      </c>
      <c r="O585" s="14"/>
      <c r="P585" s="15" t="s">
        <v>870</v>
      </c>
      <c r="Q585" s="16">
        <v>12999</v>
      </c>
      <c r="R585" s="17">
        <v>64.319999999999993</v>
      </c>
      <c r="S585" s="18">
        <v>5333.4355000000005</v>
      </c>
      <c r="T585" s="19" t="s">
        <v>36</v>
      </c>
      <c r="U585" s="20" t="s">
        <v>598</v>
      </c>
      <c r="V585" s="22">
        <v>37</v>
      </c>
      <c r="W585" s="22">
        <v>17</v>
      </c>
      <c r="X585" s="23"/>
    </row>
    <row r="586" spans="1:24" s="1" customFormat="1" ht="14.1" customHeight="1" x14ac:dyDescent="0.3">
      <c r="A586" s="24" t="s">
        <v>23</v>
      </c>
      <c r="B586" s="24" t="s">
        <v>867</v>
      </c>
      <c r="C586" s="12" t="s">
        <v>868</v>
      </c>
      <c r="D586" s="54"/>
      <c r="E586" s="39" t="str">
        <f t="shared" si="4"/>
        <v>Еще фото</v>
      </c>
      <c r="F586" s="13"/>
      <c r="G586" s="24" t="s">
        <v>808</v>
      </c>
      <c r="H586" s="24" t="s">
        <v>593</v>
      </c>
      <c r="I586" s="24" t="s">
        <v>809</v>
      </c>
      <c r="J586" s="14" t="s">
        <v>29</v>
      </c>
      <c r="K586" s="15" t="s">
        <v>64</v>
      </c>
      <c r="L586" s="57"/>
      <c r="M586" s="14" t="s">
        <v>824</v>
      </c>
      <c r="N586" s="14" t="s">
        <v>33</v>
      </c>
      <c r="O586" s="14"/>
      <c r="P586" s="15" t="s">
        <v>870</v>
      </c>
      <c r="Q586" s="16">
        <v>12999</v>
      </c>
      <c r="R586" s="17">
        <v>64.319999999999993</v>
      </c>
      <c r="S586" s="18">
        <v>5333.4355000000005</v>
      </c>
      <c r="T586" s="19" t="s">
        <v>36</v>
      </c>
      <c r="U586" s="20" t="s">
        <v>599</v>
      </c>
      <c r="V586" s="28">
        <v>37.5</v>
      </c>
      <c r="W586" s="22">
        <v>22</v>
      </c>
      <c r="X586" s="23"/>
    </row>
    <row r="587" spans="1:24" s="1" customFormat="1" ht="14.1" customHeight="1" x14ac:dyDescent="0.3">
      <c r="A587" s="24" t="s">
        <v>23</v>
      </c>
      <c r="B587" s="24" t="s">
        <v>867</v>
      </c>
      <c r="C587" s="12" t="s">
        <v>868</v>
      </c>
      <c r="D587" s="54"/>
      <c r="E587" s="39" t="str">
        <f t="shared" si="4"/>
        <v>Еще фото</v>
      </c>
      <c r="F587" s="13"/>
      <c r="G587" s="24" t="s">
        <v>808</v>
      </c>
      <c r="H587" s="24" t="s">
        <v>593</v>
      </c>
      <c r="I587" s="24" t="s">
        <v>809</v>
      </c>
      <c r="J587" s="14" t="s">
        <v>29</v>
      </c>
      <c r="K587" s="15" t="s">
        <v>64</v>
      </c>
      <c r="L587" s="57"/>
      <c r="M587" s="14" t="s">
        <v>824</v>
      </c>
      <c r="N587" s="14" t="s">
        <v>33</v>
      </c>
      <c r="O587" s="14"/>
      <c r="P587" s="15" t="s">
        <v>870</v>
      </c>
      <c r="Q587" s="16">
        <v>12999</v>
      </c>
      <c r="R587" s="17">
        <v>64.319999999999993</v>
      </c>
      <c r="S587" s="18">
        <v>5333.4355000000005</v>
      </c>
      <c r="T587" s="19" t="s">
        <v>36</v>
      </c>
      <c r="U587" s="20" t="s">
        <v>600</v>
      </c>
      <c r="V587" s="22">
        <v>38</v>
      </c>
      <c r="W587" s="22">
        <v>20</v>
      </c>
      <c r="X587" s="23"/>
    </row>
    <row r="588" spans="1:24" s="1" customFormat="1" ht="14.1" customHeight="1" x14ac:dyDescent="0.3">
      <c r="A588" s="24" t="s">
        <v>23</v>
      </c>
      <c r="B588" s="24" t="s">
        <v>867</v>
      </c>
      <c r="C588" s="12" t="s">
        <v>868</v>
      </c>
      <c r="D588" s="54"/>
      <c r="E588" s="39" t="str">
        <f t="shared" si="4"/>
        <v>Еще фото</v>
      </c>
      <c r="F588" s="13"/>
      <c r="G588" s="24" t="s">
        <v>808</v>
      </c>
      <c r="H588" s="24" t="s">
        <v>593</v>
      </c>
      <c r="I588" s="24" t="s">
        <v>809</v>
      </c>
      <c r="J588" s="14" t="s">
        <v>29</v>
      </c>
      <c r="K588" s="15" t="s">
        <v>64</v>
      </c>
      <c r="L588" s="57"/>
      <c r="M588" s="14" t="s">
        <v>824</v>
      </c>
      <c r="N588" s="14" t="s">
        <v>33</v>
      </c>
      <c r="O588" s="14"/>
      <c r="P588" s="15" t="s">
        <v>870</v>
      </c>
      <c r="Q588" s="16">
        <v>12999</v>
      </c>
      <c r="R588" s="17">
        <v>64.319999999999993</v>
      </c>
      <c r="S588" s="18">
        <v>5333.4355000000005</v>
      </c>
      <c r="T588" s="19" t="s">
        <v>36</v>
      </c>
      <c r="U588" s="20" t="s">
        <v>601</v>
      </c>
      <c r="V588" s="22">
        <v>39</v>
      </c>
      <c r="W588" s="22">
        <v>1</v>
      </c>
      <c r="X588" s="23"/>
    </row>
    <row r="589" spans="1:24" s="1" customFormat="1" ht="17.100000000000001" customHeight="1" x14ac:dyDescent="0.3">
      <c r="A589" s="24" t="s">
        <v>23</v>
      </c>
      <c r="B589" s="24" t="s">
        <v>867</v>
      </c>
      <c r="C589" s="12" t="s">
        <v>868</v>
      </c>
      <c r="D589" s="55"/>
      <c r="E589" s="39" t="str">
        <f t="shared" si="4"/>
        <v>Еще фото</v>
      </c>
      <c r="F589" s="13"/>
      <c r="G589" s="24" t="s">
        <v>808</v>
      </c>
      <c r="H589" s="24" t="s">
        <v>593</v>
      </c>
      <c r="I589" s="24" t="s">
        <v>809</v>
      </c>
      <c r="J589" s="14" t="s">
        <v>29</v>
      </c>
      <c r="K589" s="15" t="s">
        <v>64</v>
      </c>
      <c r="L589" s="58"/>
      <c r="M589" s="14" t="s">
        <v>824</v>
      </c>
      <c r="N589" s="14" t="s">
        <v>33</v>
      </c>
      <c r="O589" s="14"/>
      <c r="P589" s="15" t="s">
        <v>870</v>
      </c>
      <c r="Q589" s="16">
        <v>12999</v>
      </c>
      <c r="R589" s="17">
        <v>64.319999999999993</v>
      </c>
      <c r="S589" s="18">
        <v>5333.4355000000005</v>
      </c>
      <c r="T589" s="19" t="s">
        <v>36</v>
      </c>
      <c r="U589" s="20" t="s">
        <v>602</v>
      </c>
      <c r="V589" s="28">
        <v>39.5</v>
      </c>
      <c r="W589" s="22">
        <v>1</v>
      </c>
      <c r="X589" s="23"/>
    </row>
    <row r="590" spans="1:24" s="1" customFormat="1" ht="17.100000000000001" customHeight="1" x14ac:dyDescent="0.3">
      <c r="A590" s="11" t="s">
        <v>23</v>
      </c>
      <c r="B590" s="11" t="s">
        <v>871</v>
      </c>
      <c r="C590" s="12" t="s">
        <v>872</v>
      </c>
      <c r="D590" s="53"/>
      <c r="E590" s="39" t="str">
        <f t="shared" ref="E590:E595" si="5">HYPERLINK("https://www.google.ru/search?q=6000018-023&amp;newwindow=1&amp;tbm=isch","Еще фото")</f>
        <v>Еще фото</v>
      </c>
      <c r="F590" s="13"/>
      <c r="G590" s="11" t="s">
        <v>808</v>
      </c>
      <c r="H590" s="11" t="s">
        <v>593</v>
      </c>
      <c r="I590" s="14" t="s">
        <v>809</v>
      </c>
      <c r="J590" s="14" t="s">
        <v>29</v>
      </c>
      <c r="K590" s="15" t="s">
        <v>578</v>
      </c>
      <c r="L590" s="56" t="s">
        <v>873</v>
      </c>
      <c r="M590" s="14" t="s">
        <v>836</v>
      </c>
      <c r="N590" s="14" t="s">
        <v>84</v>
      </c>
      <c r="O590" s="14"/>
      <c r="P590" s="15" t="s">
        <v>874</v>
      </c>
      <c r="Q590" s="16">
        <v>21999</v>
      </c>
      <c r="R590" s="17">
        <v>61.69</v>
      </c>
      <c r="S590" s="18">
        <v>9691.9354999999996</v>
      </c>
      <c r="T590" s="19" t="s">
        <v>36</v>
      </c>
      <c r="U590" s="20" t="s">
        <v>875</v>
      </c>
      <c r="V590" s="28">
        <v>41.5</v>
      </c>
      <c r="W590" s="22">
        <v>2</v>
      </c>
      <c r="X590" s="23"/>
    </row>
    <row r="591" spans="1:24" s="1" customFormat="1" ht="17.100000000000001" customHeight="1" x14ac:dyDescent="0.3">
      <c r="A591" s="24" t="s">
        <v>23</v>
      </c>
      <c r="B591" s="24" t="s">
        <v>871</v>
      </c>
      <c r="C591" s="12" t="s">
        <v>872</v>
      </c>
      <c r="D591" s="54"/>
      <c r="E591" s="39" t="str">
        <f t="shared" si="5"/>
        <v>Еще фото</v>
      </c>
      <c r="F591" s="13"/>
      <c r="G591" s="24" t="s">
        <v>808</v>
      </c>
      <c r="H591" s="24" t="s">
        <v>593</v>
      </c>
      <c r="I591" s="24" t="s">
        <v>809</v>
      </c>
      <c r="J591" s="14" t="s">
        <v>29</v>
      </c>
      <c r="K591" s="15" t="s">
        <v>578</v>
      </c>
      <c r="L591" s="57"/>
      <c r="M591" s="14" t="s">
        <v>836</v>
      </c>
      <c r="N591" s="14" t="s">
        <v>84</v>
      </c>
      <c r="O591" s="14"/>
      <c r="P591" s="15" t="s">
        <v>874</v>
      </c>
      <c r="Q591" s="16">
        <v>21999</v>
      </c>
      <c r="R591" s="17">
        <v>61.69</v>
      </c>
      <c r="S591" s="18">
        <v>9691.9354999999996</v>
      </c>
      <c r="T591" s="19" t="s">
        <v>36</v>
      </c>
      <c r="U591" s="20" t="s">
        <v>876</v>
      </c>
      <c r="V591" s="22">
        <v>42</v>
      </c>
      <c r="W591" s="22">
        <v>4</v>
      </c>
      <c r="X591" s="23"/>
    </row>
    <row r="592" spans="1:24" s="1" customFormat="1" ht="17.100000000000001" customHeight="1" x14ac:dyDescent="0.3">
      <c r="A592" s="24" t="s">
        <v>23</v>
      </c>
      <c r="B592" s="24" t="s">
        <v>871</v>
      </c>
      <c r="C592" s="12" t="s">
        <v>872</v>
      </c>
      <c r="D592" s="54"/>
      <c r="E592" s="39" t="str">
        <f t="shared" si="5"/>
        <v>Еще фото</v>
      </c>
      <c r="F592" s="13"/>
      <c r="G592" s="24" t="s">
        <v>808</v>
      </c>
      <c r="H592" s="24" t="s">
        <v>593</v>
      </c>
      <c r="I592" s="24" t="s">
        <v>809</v>
      </c>
      <c r="J592" s="14" t="s">
        <v>29</v>
      </c>
      <c r="K592" s="15" t="s">
        <v>578</v>
      </c>
      <c r="L592" s="57"/>
      <c r="M592" s="14" t="s">
        <v>836</v>
      </c>
      <c r="N592" s="14" t="s">
        <v>84</v>
      </c>
      <c r="O592" s="14"/>
      <c r="P592" s="15" t="s">
        <v>874</v>
      </c>
      <c r="Q592" s="16">
        <v>21999</v>
      </c>
      <c r="R592" s="17">
        <v>61.69</v>
      </c>
      <c r="S592" s="18">
        <v>9691.9354999999996</v>
      </c>
      <c r="T592" s="19" t="s">
        <v>36</v>
      </c>
      <c r="U592" s="20" t="s">
        <v>877</v>
      </c>
      <c r="V592" s="22">
        <v>43</v>
      </c>
      <c r="W592" s="22">
        <v>1</v>
      </c>
      <c r="X592" s="23"/>
    </row>
    <row r="593" spans="1:24" s="1" customFormat="1" ht="17.100000000000001" customHeight="1" x14ac:dyDescent="0.3">
      <c r="A593" s="24" t="s">
        <v>23</v>
      </c>
      <c r="B593" s="24" t="s">
        <v>871</v>
      </c>
      <c r="C593" s="12" t="s">
        <v>872</v>
      </c>
      <c r="D593" s="54"/>
      <c r="E593" s="39" t="str">
        <f t="shared" si="5"/>
        <v>Еще фото</v>
      </c>
      <c r="F593" s="13"/>
      <c r="G593" s="24" t="s">
        <v>808</v>
      </c>
      <c r="H593" s="24" t="s">
        <v>593</v>
      </c>
      <c r="I593" s="24" t="s">
        <v>809</v>
      </c>
      <c r="J593" s="14" t="s">
        <v>29</v>
      </c>
      <c r="K593" s="15" t="s">
        <v>578</v>
      </c>
      <c r="L593" s="57"/>
      <c r="M593" s="14" t="s">
        <v>836</v>
      </c>
      <c r="N593" s="14" t="s">
        <v>84</v>
      </c>
      <c r="O593" s="14"/>
      <c r="P593" s="15" t="s">
        <v>874</v>
      </c>
      <c r="Q593" s="16">
        <v>21999</v>
      </c>
      <c r="R593" s="17">
        <v>61.69</v>
      </c>
      <c r="S593" s="18">
        <v>9691.9354999999996</v>
      </c>
      <c r="T593" s="19" t="s">
        <v>36</v>
      </c>
      <c r="U593" s="20" t="s">
        <v>878</v>
      </c>
      <c r="V593" s="28">
        <v>43.5</v>
      </c>
      <c r="W593" s="22">
        <v>4</v>
      </c>
      <c r="X593" s="23"/>
    </row>
    <row r="594" spans="1:24" s="1" customFormat="1" ht="17.100000000000001" customHeight="1" x14ac:dyDescent="0.3">
      <c r="A594" s="24" t="s">
        <v>23</v>
      </c>
      <c r="B594" s="24" t="s">
        <v>871</v>
      </c>
      <c r="C594" s="12" t="s">
        <v>872</v>
      </c>
      <c r="D594" s="54"/>
      <c r="E594" s="39" t="str">
        <f t="shared" si="5"/>
        <v>Еще фото</v>
      </c>
      <c r="F594" s="13"/>
      <c r="G594" s="24" t="s">
        <v>808</v>
      </c>
      <c r="H594" s="24" t="s">
        <v>593</v>
      </c>
      <c r="I594" s="24" t="s">
        <v>809</v>
      </c>
      <c r="J594" s="14" t="s">
        <v>29</v>
      </c>
      <c r="K594" s="15" t="s">
        <v>578</v>
      </c>
      <c r="L594" s="57"/>
      <c r="M594" s="14" t="s">
        <v>836</v>
      </c>
      <c r="N594" s="14" t="s">
        <v>84</v>
      </c>
      <c r="O594" s="14"/>
      <c r="P594" s="15" t="s">
        <v>874</v>
      </c>
      <c r="Q594" s="16">
        <v>21999</v>
      </c>
      <c r="R594" s="17">
        <v>61.69</v>
      </c>
      <c r="S594" s="18">
        <v>9691.9354999999996</v>
      </c>
      <c r="T594" s="19" t="s">
        <v>36</v>
      </c>
      <c r="U594" s="20" t="s">
        <v>879</v>
      </c>
      <c r="V594" s="22">
        <v>44</v>
      </c>
      <c r="W594" s="22">
        <v>7</v>
      </c>
      <c r="X594" s="23"/>
    </row>
    <row r="595" spans="1:24" s="1" customFormat="1" ht="21.95" customHeight="1" x14ac:dyDescent="0.3">
      <c r="A595" s="24" t="s">
        <v>23</v>
      </c>
      <c r="B595" s="24" t="s">
        <v>871</v>
      </c>
      <c r="C595" s="12" t="s">
        <v>872</v>
      </c>
      <c r="D595" s="55"/>
      <c r="E595" s="39" t="str">
        <f t="shared" si="5"/>
        <v>Еще фото</v>
      </c>
      <c r="F595" s="13"/>
      <c r="G595" s="24" t="s">
        <v>808</v>
      </c>
      <c r="H595" s="24" t="s">
        <v>593</v>
      </c>
      <c r="I595" s="24" t="s">
        <v>809</v>
      </c>
      <c r="J595" s="14" t="s">
        <v>29</v>
      </c>
      <c r="K595" s="15" t="s">
        <v>578</v>
      </c>
      <c r="L595" s="58"/>
      <c r="M595" s="14" t="s">
        <v>836</v>
      </c>
      <c r="N595" s="14" t="s">
        <v>84</v>
      </c>
      <c r="O595" s="14"/>
      <c r="P595" s="15" t="s">
        <v>874</v>
      </c>
      <c r="Q595" s="16">
        <v>21999</v>
      </c>
      <c r="R595" s="17">
        <v>61.69</v>
      </c>
      <c r="S595" s="18">
        <v>9691.9354999999996</v>
      </c>
      <c r="T595" s="19" t="s">
        <v>36</v>
      </c>
      <c r="U595" s="20" t="s">
        <v>880</v>
      </c>
      <c r="V595" s="28">
        <v>44.5</v>
      </c>
      <c r="W595" s="22">
        <v>2</v>
      </c>
      <c r="X595" s="23"/>
    </row>
    <row r="596" spans="1:24" s="1" customFormat="1" ht="21" customHeight="1" x14ac:dyDescent="0.3">
      <c r="A596" s="11" t="s">
        <v>23</v>
      </c>
      <c r="B596" s="11" t="s">
        <v>881</v>
      </c>
      <c r="C596" s="26" t="s">
        <v>882</v>
      </c>
      <c r="D596" s="53"/>
      <c r="E596" s="39" t="str">
        <f>HYPERLINK("https://www.google.ru/search?q=3027006-102&amp;newwindow=1&amp;tbm=isch","Еще фото")</f>
        <v>Еще фото</v>
      </c>
      <c r="F596" s="13"/>
      <c r="G596" s="11" t="s">
        <v>808</v>
      </c>
      <c r="H596" s="11" t="s">
        <v>593</v>
      </c>
      <c r="I596" s="14" t="s">
        <v>809</v>
      </c>
      <c r="J596" s="14" t="s">
        <v>29</v>
      </c>
      <c r="K596" s="15" t="s">
        <v>64</v>
      </c>
      <c r="L596" s="56" t="s">
        <v>883</v>
      </c>
      <c r="M596" s="14"/>
      <c r="N596" s="14" t="s">
        <v>84</v>
      </c>
      <c r="O596" s="14"/>
      <c r="P596" s="15" t="s">
        <v>884</v>
      </c>
      <c r="Q596" s="16">
        <v>8399</v>
      </c>
      <c r="R596" s="17">
        <v>61.69</v>
      </c>
      <c r="S596" s="18">
        <v>3700.4354999999996</v>
      </c>
      <c r="T596" s="19" t="s">
        <v>36</v>
      </c>
      <c r="U596" s="20" t="s">
        <v>813</v>
      </c>
      <c r="V596" s="28">
        <v>35.5</v>
      </c>
      <c r="W596" s="22">
        <v>8</v>
      </c>
      <c r="X596" s="23"/>
    </row>
    <row r="597" spans="1:24" s="1" customFormat="1" ht="21" customHeight="1" x14ac:dyDescent="0.3">
      <c r="A597" s="24" t="s">
        <v>23</v>
      </c>
      <c r="B597" s="24" t="s">
        <v>881</v>
      </c>
      <c r="C597" s="27" t="s">
        <v>882</v>
      </c>
      <c r="D597" s="54"/>
      <c r="E597" s="39" t="str">
        <f>HYPERLINK("https://www.google.ru/search?q=3027006-102&amp;newwindow=1&amp;tbm=isch","Еще фото")</f>
        <v>Еще фото</v>
      </c>
      <c r="F597" s="13"/>
      <c r="G597" s="24" t="s">
        <v>808</v>
      </c>
      <c r="H597" s="24" t="s">
        <v>593</v>
      </c>
      <c r="I597" s="24" t="s">
        <v>809</v>
      </c>
      <c r="J597" s="14" t="s">
        <v>29</v>
      </c>
      <c r="K597" s="15" t="s">
        <v>64</v>
      </c>
      <c r="L597" s="57"/>
      <c r="M597" s="14"/>
      <c r="N597" s="14" t="s">
        <v>84</v>
      </c>
      <c r="O597" s="14"/>
      <c r="P597" s="15" t="s">
        <v>884</v>
      </c>
      <c r="Q597" s="16">
        <v>8399</v>
      </c>
      <c r="R597" s="17">
        <v>61.69</v>
      </c>
      <c r="S597" s="18">
        <v>3700.4354999999996</v>
      </c>
      <c r="T597" s="19" t="s">
        <v>36</v>
      </c>
      <c r="U597" s="20" t="s">
        <v>820</v>
      </c>
      <c r="V597" s="22">
        <v>36</v>
      </c>
      <c r="W597" s="22">
        <v>1</v>
      </c>
      <c r="X597" s="23"/>
    </row>
    <row r="598" spans="1:24" s="1" customFormat="1" ht="21" customHeight="1" x14ac:dyDescent="0.3">
      <c r="A598" s="24" t="s">
        <v>23</v>
      </c>
      <c r="B598" s="24" t="s">
        <v>881</v>
      </c>
      <c r="C598" s="27" t="s">
        <v>882</v>
      </c>
      <c r="D598" s="54"/>
      <c r="E598" s="39" t="str">
        <f>HYPERLINK("https://www.google.ru/search?q=3027006-102&amp;newwindow=1&amp;tbm=isch","Еще фото")</f>
        <v>Еще фото</v>
      </c>
      <c r="F598" s="13"/>
      <c r="G598" s="24" t="s">
        <v>808</v>
      </c>
      <c r="H598" s="24" t="s">
        <v>593</v>
      </c>
      <c r="I598" s="24" t="s">
        <v>809</v>
      </c>
      <c r="J598" s="14" t="s">
        <v>29</v>
      </c>
      <c r="K598" s="15" t="s">
        <v>64</v>
      </c>
      <c r="L598" s="57"/>
      <c r="M598" s="14"/>
      <c r="N598" s="14" t="s">
        <v>84</v>
      </c>
      <c r="O598" s="14"/>
      <c r="P598" s="15" t="s">
        <v>884</v>
      </c>
      <c r="Q598" s="16">
        <v>8399</v>
      </c>
      <c r="R598" s="17">
        <v>61.69</v>
      </c>
      <c r="S598" s="18">
        <v>3700.4354999999996</v>
      </c>
      <c r="T598" s="19" t="s">
        <v>36</v>
      </c>
      <c r="U598" s="20" t="s">
        <v>814</v>
      </c>
      <c r="V598" s="28">
        <v>36.5</v>
      </c>
      <c r="W598" s="22">
        <v>14</v>
      </c>
      <c r="X598" s="23"/>
    </row>
    <row r="599" spans="1:24" s="1" customFormat="1" ht="21" customHeight="1" x14ac:dyDescent="0.3">
      <c r="A599" s="24" t="s">
        <v>23</v>
      </c>
      <c r="B599" s="24" t="s">
        <v>881</v>
      </c>
      <c r="C599" s="27" t="s">
        <v>882</v>
      </c>
      <c r="D599" s="54"/>
      <c r="E599" s="39" t="str">
        <f>HYPERLINK("https://www.google.ru/search?q=3027006-102&amp;newwindow=1&amp;tbm=isch","Еще фото")</f>
        <v>Еще фото</v>
      </c>
      <c r="F599" s="13"/>
      <c r="G599" s="24" t="s">
        <v>808</v>
      </c>
      <c r="H599" s="24" t="s">
        <v>593</v>
      </c>
      <c r="I599" s="24" t="s">
        <v>809</v>
      </c>
      <c r="J599" s="14" t="s">
        <v>29</v>
      </c>
      <c r="K599" s="15" t="s">
        <v>64</v>
      </c>
      <c r="L599" s="57"/>
      <c r="M599" s="14"/>
      <c r="N599" s="14" t="s">
        <v>84</v>
      </c>
      <c r="O599" s="14"/>
      <c r="P599" s="15" t="s">
        <v>884</v>
      </c>
      <c r="Q599" s="16">
        <v>8399</v>
      </c>
      <c r="R599" s="17">
        <v>61.69</v>
      </c>
      <c r="S599" s="18">
        <v>3700.4354999999996</v>
      </c>
      <c r="T599" s="19" t="s">
        <v>36</v>
      </c>
      <c r="U599" s="20" t="s">
        <v>598</v>
      </c>
      <c r="V599" s="22">
        <v>37</v>
      </c>
      <c r="W599" s="22">
        <v>8</v>
      </c>
      <c r="X599" s="23"/>
    </row>
    <row r="600" spans="1:24" s="1" customFormat="1" ht="32.1" customHeight="1" x14ac:dyDescent="0.3">
      <c r="A600" s="24" t="s">
        <v>23</v>
      </c>
      <c r="B600" s="24" t="s">
        <v>881</v>
      </c>
      <c r="C600" s="27" t="s">
        <v>882</v>
      </c>
      <c r="D600" s="55"/>
      <c r="E600" s="39" t="str">
        <f>HYPERLINK("https://www.google.ru/search?q=3027006-102&amp;newwindow=1&amp;tbm=isch","Еще фото")</f>
        <v>Еще фото</v>
      </c>
      <c r="F600" s="13"/>
      <c r="G600" s="24" t="s">
        <v>808</v>
      </c>
      <c r="H600" s="24" t="s">
        <v>593</v>
      </c>
      <c r="I600" s="24" t="s">
        <v>809</v>
      </c>
      <c r="J600" s="14" t="s">
        <v>29</v>
      </c>
      <c r="K600" s="15" t="s">
        <v>64</v>
      </c>
      <c r="L600" s="58"/>
      <c r="M600" s="14"/>
      <c r="N600" s="14" t="s">
        <v>84</v>
      </c>
      <c r="O600" s="14"/>
      <c r="P600" s="15" t="s">
        <v>884</v>
      </c>
      <c r="Q600" s="16">
        <v>8399</v>
      </c>
      <c r="R600" s="17">
        <v>61.69</v>
      </c>
      <c r="S600" s="18">
        <v>3700.4354999999996</v>
      </c>
      <c r="T600" s="19" t="s">
        <v>36</v>
      </c>
      <c r="U600" s="20" t="s">
        <v>599</v>
      </c>
      <c r="V600" s="28">
        <v>37.5</v>
      </c>
      <c r="W600" s="22">
        <v>1</v>
      </c>
      <c r="X600" s="23"/>
    </row>
    <row r="601" spans="1:24" s="1" customFormat="1" ht="108" customHeight="1" x14ac:dyDescent="0.3">
      <c r="A601" s="11" t="s">
        <v>23</v>
      </c>
      <c r="B601" s="11" t="s">
        <v>885</v>
      </c>
      <c r="C601" s="12" t="s">
        <v>886</v>
      </c>
      <c r="D601" s="25"/>
      <c r="E601" s="39" t="str">
        <f>HYPERLINK("https://www.google.ru/search?q=3023561-104&amp;newwindow=1&amp;tbm=isch","Еще фото")</f>
        <v>Еще фото</v>
      </c>
      <c r="F601" s="13"/>
      <c r="G601" s="11" t="s">
        <v>808</v>
      </c>
      <c r="H601" s="11" t="s">
        <v>593</v>
      </c>
      <c r="I601" s="14" t="s">
        <v>809</v>
      </c>
      <c r="J601" s="14" t="s">
        <v>29</v>
      </c>
      <c r="K601" s="15" t="s">
        <v>64</v>
      </c>
      <c r="L601" s="14" t="s">
        <v>887</v>
      </c>
      <c r="M601" s="14" t="s">
        <v>888</v>
      </c>
      <c r="N601" s="14" t="s">
        <v>84</v>
      </c>
      <c r="O601" s="14" t="s">
        <v>34</v>
      </c>
      <c r="P601" s="15" t="s">
        <v>889</v>
      </c>
      <c r="Q601" s="16">
        <v>16099</v>
      </c>
      <c r="R601" s="17">
        <v>61.69</v>
      </c>
      <c r="S601" s="18">
        <v>7092.9354999999996</v>
      </c>
      <c r="T601" s="19" t="s">
        <v>36</v>
      </c>
      <c r="U601" s="20" t="s">
        <v>814</v>
      </c>
      <c r="V601" s="28">
        <v>36.5</v>
      </c>
      <c r="W601" s="22">
        <v>2</v>
      </c>
      <c r="X601" s="23"/>
    </row>
    <row r="602" spans="1:24" s="1" customFormat="1" ht="108" customHeight="1" x14ac:dyDescent="0.3">
      <c r="A602" s="11" t="s">
        <v>23</v>
      </c>
      <c r="B602" s="11" t="s">
        <v>890</v>
      </c>
      <c r="C602" s="12" t="s">
        <v>891</v>
      </c>
      <c r="D602" s="25"/>
      <c r="E602" s="39" t="str">
        <f>HYPERLINK("https://www.google.ru/search?q=3027772-001&amp;newwindow=1&amp;tbm=isch","Еще фото")</f>
        <v>Еще фото</v>
      </c>
      <c r="F602" s="13"/>
      <c r="G602" s="11" t="s">
        <v>808</v>
      </c>
      <c r="H602" s="11" t="s">
        <v>593</v>
      </c>
      <c r="I602" s="14" t="s">
        <v>809</v>
      </c>
      <c r="J602" s="14" t="s">
        <v>892</v>
      </c>
      <c r="K602" s="15" t="s">
        <v>578</v>
      </c>
      <c r="L602" s="14" t="s">
        <v>893</v>
      </c>
      <c r="M602" s="14"/>
      <c r="N602" s="14" t="s">
        <v>33</v>
      </c>
      <c r="O602" s="14"/>
      <c r="P602" s="15" t="s">
        <v>894</v>
      </c>
      <c r="Q602" s="16">
        <v>21499</v>
      </c>
      <c r="R602" s="17">
        <v>61.68</v>
      </c>
      <c r="S602" s="18">
        <v>9473.4354999999996</v>
      </c>
      <c r="T602" s="19" t="s">
        <v>36</v>
      </c>
      <c r="U602" s="20" t="s">
        <v>876</v>
      </c>
      <c r="V602" s="22">
        <v>42</v>
      </c>
      <c r="W602" s="22">
        <v>2</v>
      </c>
      <c r="X602" s="23"/>
    </row>
    <row r="603" spans="1:24" s="1" customFormat="1" ht="108" customHeight="1" x14ac:dyDescent="0.3">
      <c r="A603" s="11" t="s">
        <v>23</v>
      </c>
      <c r="B603" s="11" t="s">
        <v>895</v>
      </c>
      <c r="C603" s="12" t="s">
        <v>896</v>
      </c>
      <c r="D603" s="25"/>
      <c r="E603" s="39" t="str">
        <f>HYPERLINK("https://www.google.ru/search?q=3027005-001&amp;newwindow=1&amp;tbm=isch","Еще фото")</f>
        <v>Еще фото</v>
      </c>
      <c r="F603" s="13"/>
      <c r="G603" s="11" t="s">
        <v>808</v>
      </c>
      <c r="H603" s="11" t="s">
        <v>593</v>
      </c>
      <c r="I603" s="14" t="s">
        <v>809</v>
      </c>
      <c r="J603" s="14" t="s">
        <v>29</v>
      </c>
      <c r="K603" s="15" t="s">
        <v>64</v>
      </c>
      <c r="L603" s="14" t="s">
        <v>897</v>
      </c>
      <c r="M603" s="14"/>
      <c r="N603" s="14" t="s">
        <v>33</v>
      </c>
      <c r="O603" s="14"/>
      <c r="P603" s="15" t="s">
        <v>898</v>
      </c>
      <c r="Q603" s="16">
        <v>11099</v>
      </c>
      <c r="R603" s="17">
        <v>61.64</v>
      </c>
      <c r="S603" s="18">
        <v>4896.4355000000005</v>
      </c>
      <c r="T603" s="19" t="s">
        <v>36</v>
      </c>
      <c r="U603" s="20" t="s">
        <v>598</v>
      </c>
      <c r="V603" s="22">
        <v>37</v>
      </c>
      <c r="W603" s="22">
        <v>2</v>
      </c>
      <c r="X603" s="23"/>
    </row>
    <row r="604" spans="1:24" s="1" customFormat="1" ht="35.1" customHeight="1" x14ac:dyDescent="0.3">
      <c r="A604" s="11" t="s">
        <v>23</v>
      </c>
      <c r="B604" s="11" t="s">
        <v>899</v>
      </c>
      <c r="C604" s="12" t="s">
        <v>900</v>
      </c>
      <c r="D604" s="53"/>
      <c r="E604" s="39" t="str">
        <f>HYPERLINK("https://www.google.ru/search?q=3028334-001&amp;newwindow=1&amp;tbm=isch","Еще фото")</f>
        <v>Еще фото</v>
      </c>
      <c r="F604" s="13"/>
      <c r="G604" s="11" t="s">
        <v>808</v>
      </c>
      <c r="H604" s="11" t="s">
        <v>593</v>
      </c>
      <c r="I604" s="14" t="s">
        <v>809</v>
      </c>
      <c r="J604" s="14" t="s">
        <v>892</v>
      </c>
      <c r="K604" s="15" t="s">
        <v>578</v>
      </c>
      <c r="L604" s="56" t="s">
        <v>901</v>
      </c>
      <c r="M604" s="14"/>
      <c r="N604" s="14" t="s">
        <v>33</v>
      </c>
      <c r="O604" s="14"/>
      <c r="P604" s="15" t="s">
        <v>902</v>
      </c>
      <c r="Q604" s="16">
        <v>25199</v>
      </c>
      <c r="R604" s="17">
        <v>59.53</v>
      </c>
      <c r="S604" s="18">
        <v>11727.4355</v>
      </c>
      <c r="T604" s="19" t="s">
        <v>36</v>
      </c>
      <c r="U604" s="20" t="s">
        <v>875</v>
      </c>
      <c r="V604" s="28">
        <v>41.5</v>
      </c>
      <c r="W604" s="22">
        <v>1</v>
      </c>
      <c r="X604" s="23"/>
    </row>
    <row r="605" spans="1:24" s="1" customFormat="1" ht="35.1" customHeight="1" x14ac:dyDescent="0.3">
      <c r="A605" s="24" t="s">
        <v>23</v>
      </c>
      <c r="B605" s="24" t="s">
        <v>899</v>
      </c>
      <c r="C605" s="12" t="s">
        <v>900</v>
      </c>
      <c r="D605" s="54"/>
      <c r="E605" s="39" t="str">
        <f>HYPERLINK("https://www.google.ru/search?q=3028334-001&amp;newwindow=1&amp;tbm=isch","Еще фото")</f>
        <v>Еще фото</v>
      </c>
      <c r="F605" s="13"/>
      <c r="G605" s="24" t="s">
        <v>808</v>
      </c>
      <c r="H605" s="24" t="s">
        <v>593</v>
      </c>
      <c r="I605" s="24" t="s">
        <v>809</v>
      </c>
      <c r="J605" s="14" t="s">
        <v>892</v>
      </c>
      <c r="K605" s="15" t="s">
        <v>578</v>
      </c>
      <c r="L605" s="57"/>
      <c r="M605" s="14"/>
      <c r="N605" s="14" t="s">
        <v>33</v>
      </c>
      <c r="O605" s="14"/>
      <c r="P605" s="15" t="s">
        <v>902</v>
      </c>
      <c r="Q605" s="16">
        <v>25199</v>
      </c>
      <c r="R605" s="17">
        <v>59.53</v>
      </c>
      <c r="S605" s="18">
        <v>11727.4355</v>
      </c>
      <c r="T605" s="19" t="s">
        <v>36</v>
      </c>
      <c r="U605" s="20" t="s">
        <v>876</v>
      </c>
      <c r="V605" s="22">
        <v>42</v>
      </c>
      <c r="W605" s="22">
        <v>3</v>
      </c>
      <c r="X605" s="23"/>
    </row>
    <row r="606" spans="1:24" s="1" customFormat="1" ht="36.950000000000003" customHeight="1" x14ac:dyDescent="0.3">
      <c r="A606" s="24" t="s">
        <v>23</v>
      </c>
      <c r="B606" s="24" t="s">
        <v>899</v>
      </c>
      <c r="C606" s="12" t="s">
        <v>900</v>
      </c>
      <c r="D606" s="55"/>
      <c r="E606" s="39" t="str">
        <f>HYPERLINK("https://www.google.ru/search?q=3028334-001&amp;newwindow=1&amp;tbm=isch","Еще фото")</f>
        <v>Еще фото</v>
      </c>
      <c r="F606" s="13"/>
      <c r="G606" s="24" t="s">
        <v>808</v>
      </c>
      <c r="H606" s="24" t="s">
        <v>593</v>
      </c>
      <c r="I606" s="24" t="s">
        <v>809</v>
      </c>
      <c r="J606" s="14" t="s">
        <v>892</v>
      </c>
      <c r="K606" s="15" t="s">
        <v>578</v>
      </c>
      <c r="L606" s="58"/>
      <c r="M606" s="14"/>
      <c r="N606" s="14" t="s">
        <v>33</v>
      </c>
      <c r="O606" s="14"/>
      <c r="P606" s="15" t="s">
        <v>902</v>
      </c>
      <c r="Q606" s="16">
        <v>25199</v>
      </c>
      <c r="R606" s="17">
        <v>59.53</v>
      </c>
      <c r="S606" s="18">
        <v>11727.4355</v>
      </c>
      <c r="T606" s="19" t="s">
        <v>36</v>
      </c>
      <c r="U606" s="20" t="s">
        <v>877</v>
      </c>
      <c r="V606" s="22">
        <v>43</v>
      </c>
      <c r="W606" s="22">
        <v>2</v>
      </c>
      <c r="X606" s="23"/>
    </row>
    <row r="607" spans="1:24" s="1" customFormat="1" ht="21" customHeight="1" x14ac:dyDescent="0.3">
      <c r="A607" s="11" t="s">
        <v>23</v>
      </c>
      <c r="B607" s="11" t="s">
        <v>903</v>
      </c>
      <c r="C607" s="26" t="s">
        <v>904</v>
      </c>
      <c r="D607" s="53"/>
      <c r="E607" s="39" t="str">
        <f>HYPERLINK("https://www.google.ru/search?q=3026550-002&amp;newwindow=1&amp;tbm=isch","Еще фото")</f>
        <v>Еще фото</v>
      </c>
      <c r="F607" s="13"/>
      <c r="G607" s="11" t="s">
        <v>808</v>
      </c>
      <c r="H607" s="11" t="s">
        <v>593</v>
      </c>
      <c r="I607" s="14" t="s">
        <v>809</v>
      </c>
      <c r="J607" s="14" t="s">
        <v>29</v>
      </c>
      <c r="K607" s="15" t="s">
        <v>64</v>
      </c>
      <c r="L607" s="56" t="s">
        <v>905</v>
      </c>
      <c r="M607" s="14" t="s">
        <v>824</v>
      </c>
      <c r="N607" s="14" t="s">
        <v>33</v>
      </c>
      <c r="O607" s="14"/>
      <c r="P607" s="15" t="s">
        <v>906</v>
      </c>
      <c r="Q607" s="16">
        <v>16899</v>
      </c>
      <c r="R607" s="17">
        <v>59.24</v>
      </c>
      <c r="S607" s="18">
        <v>7920.9354999999996</v>
      </c>
      <c r="T607" s="19" t="s">
        <v>36</v>
      </c>
      <c r="U607" s="20" t="s">
        <v>863</v>
      </c>
      <c r="V607" s="22">
        <v>35</v>
      </c>
      <c r="W607" s="22">
        <v>9</v>
      </c>
      <c r="X607" s="23"/>
    </row>
    <row r="608" spans="1:24" s="1" customFormat="1" ht="21" customHeight="1" x14ac:dyDescent="0.3">
      <c r="A608" s="24" t="s">
        <v>23</v>
      </c>
      <c r="B608" s="24" t="s">
        <v>903</v>
      </c>
      <c r="C608" s="27" t="s">
        <v>904</v>
      </c>
      <c r="D608" s="54"/>
      <c r="E608" s="39" t="str">
        <f>HYPERLINK("https://www.google.ru/search?q=3026550-002&amp;newwindow=1&amp;tbm=isch","Еще фото")</f>
        <v>Еще фото</v>
      </c>
      <c r="F608" s="13"/>
      <c r="G608" s="24" t="s">
        <v>808</v>
      </c>
      <c r="H608" s="24" t="s">
        <v>593</v>
      </c>
      <c r="I608" s="24" t="s">
        <v>809</v>
      </c>
      <c r="J608" s="14" t="s">
        <v>29</v>
      </c>
      <c r="K608" s="15" t="s">
        <v>64</v>
      </c>
      <c r="L608" s="57"/>
      <c r="M608" s="14" t="s">
        <v>824</v>
      </c>
      <c r="N608" s="14" t="s">
        <v>33</v>
      </c>
      <c r="O608" s="14"/>
      <c r="P608" s="15" t="s">
        <v>906</v>
      </c>
      <c r="Q608" s="16">
        <v>16899</v>
      </c>
      <c r="R608" s="17">
        <v>59.24</v>
      </c>
      <c r="S608" s="18">
        <v>7920.9354999999996</v>
      </c>
      <c r="T608" s="19" t="s">
        <v>36</v>
      </c>
      <c r="U608" s="20" t="s">
        <v>813</v>
      </c>
      <c r="V608" s="28">
        <v>35.5</v>
      </c>
      <c r="W608" s="22">
        <v>1</v>
      </c>
      <c r="X608" s="23"/>
    </row>
    <row r="609" spans="1:24" s="1" customFormat="1" ht="21" customHeight="1" x14ac:dyDescent="0.3">
      <c r="A609" s="24" t="s">
        <v>23</v>
      </c>
      <c r="B609" s="24" t="s">
        <v>903</v>
      </c>
      <c r="C609" s="27" t="s">
        <v>904</v>
      </c>
      <c r="D609" s="54"/>
      <c r="E609" s="39" t="str">
        <f>HYPERLINK("https://www.google.ru/search?q=3026550-002&amp;newwindow=1&amp;tbm=isch","Еще фото")</f>
        <v>Еще фото</v>
      </c>
      <c r="F609" s="13"/>
      <c r="G609" s="24" t="s">
        <v>808</v>
      </c>
      <c r="H609" s="24" t="s">
        <v>593</v>
      </c>
      <c r="I609" s="24" t="s">
        <v>809</v>
      </c>
      <c r="J609" s="14" t="s">
        <v>29</v>
      </c>
      <c r="K609" s="15" t="s">
        <v>64</v>
      </c>
      <c r="L609" s="57"/>
      <c r="M609" s="14" t="s">
        <v>824</v>
      </c>
      <c r="N609" s="14" t="s">
        <v>33</v>
      </c>
      <c r="O609" s="14"/>
      <c r="P609" s="15" t="s">
        <v>906</v>
      </c>
      <c r="Q609" s="16">
        <v>16899</v>
      </c>
      <c r="R609" s="17">
        <v>59.24</v>
      </c>
      <c r="S609" s="18">
        <v>7920.9354999999996</v>
      </c>
      <c r="T609" s="19" t="s">
        <v>36</v>
      </c>
      <c r="U609" s="20" t="s">
        <v>820</v>
      </c>
      <c r="V609" s="22">
        <v>36</v>
      </c>
      <c r="W609" s="22">
        <v>5</v>
      </c>
      <c r="X609" s="23"/>
    </row>
    <row r="610" spans="1:24" s="1" customFormat="1" ht="21" customHeight="1" x14ac:dyDescent="0.3">
      <c r="A610" s="24" t="s">
        <v>23</v>
      </c>
      <c r="B610" s="24" t="s">
        <v>903</v>
      </c>
      <c r="C610" s="27" t="s">
        <v>904</v>
      </c>
      <c r="D610" s="54"/>
      <c r="E610" s="39" t="str">
        <f>HYPERLINK("https://www.google.ru/search?q=3026550-002&amp;newwindow=1&amp;tbm=isch","Еще фото")</f>
        <v>Еще фото</v>
      </c>
      <c r="F610" s="13"/>
      <c r="G610" s="24" t="s">
        <v>808</v>
      </c>
      <c r="H610" s="24" t="s">
        <v>593</v>
      </c>
      <c r="I610" s="24" t="s">
        <v>809</v>
      </c>
      <c r="J610" s="14" t="s">
        <v>29</v>
      </c>
      <c r="K610" s="15" t="s">
        <v>64</v>
      </c>
      <c r="L610" s="57"/>
      <c r="M610" s="14" t="s">
        <v>824</v>
      </c>
      <c r="N610" s="14" t="s">
        <v>33</v>
      </c>
      <c r="O610" s="14"/>
      <c r="P610" s="15" t="s">
        <v>906</v>
      </c>
      <c r="Q610" s="16">
        <v>16899</v>
      </c>
      <c r="R610" s="17">
        <v>59.24</v>
      </c>
      <c r="S610" s="18">
        <v>7920.9354999999996</v>
      </c>
      <c r="T610" s="19" t="s">
        <v>36</v>
      </c>
      <c r="U610" s="20" t="s">
        <v>814</v>
      </c>
      <c r="V610" s="28">
        <v>36.5</v>
      </c>
      <c r="W610" s="22">
        <v>5</v>
      </c>
      <c r="X610" s="23"/>
    </row>
    <row r="611" spans="1:24" s="1" customFormat="1" ht="32.1" customHeight="1" x14ac:dyDescent="0.3">
      <c r="A611" s="24" t="s">
        <v>23</v>
      </c>
      <c r="B611" s="24" t="s">
        <v>903</v>
      </c>
      <c r="C611" s="27" t="s">
        <v>904</v>
      </c>
      <c r="D611" s="55"/>
      <c r="E611" s="39" t="str">
        <f>HYPERLINK("https://www.google.ru/search?q=3026550-002&amp;newwindow=1&amp;tbm=isch","Еще фото")</f>
        <v>Еще фото</v>
      </c>
      <c r="F611" s="13"/>
      <c r="G611" s="24" t="s">
        <v>808</v>
      </c>
      <c r="H611" s="24" t="s">
        <v>593</v>
      </c>
      <c r="I611" s="24" t="s">
        <v>809</v>
      </c>
      <c r="J611" s="14" t="s">
        <v>29</v>
      </c>
      <c r="K611" s="15" t="s">
        <v>64</v>
      </c>
      <c r="L611" s="58"/>
      <c r="M611" s="14" t="s">
        <v>824</v>
      </c>
      <c r="N611" s="14" t="s">
        <v>33</v>
      </c>
      <c r="O611" s="14"/>
      <c r="P611" s="15" t="s">
        <v>906</v>
      </c>
      <c r="Q611" s="16">
        <v>16899</v>
      </c>
      <c r="R611" s="17">
        <v>59.24</v>
      </c>
      <c r="S611" s="18">
        <v>7920.9354999999996</v>
      </c>
      <c r="T611" s="19" t="s">
        <v>36</v>
      </c>
      <c r="U611" s="20" t="s">
        <v>598</v>
      </c>
      <c r="V611" s="22">
        <v>37</v>
      </c>
      <c r="W611" s="22">
        <v>3</v>
      </c>
      <c r="X611" s="23"/>
    </row>
    <row r="612" spans="1:24" s="1" customFormat="1" ht="51.95" customHeight="1" x14ac:dyDescent="0.3">
      <c r="A612" s="11" t="s">
        <v>23</v>
      </c>
      <c r="B612" s="11" t="s">
        <v>907</v>
      </c>
      <c r="C612" s="12" t="s">
        <v>908</v>
      </c>
      <c r="D612" s="59"/>
      <c r="E612" s="39" t="str">
        <f>HYPERLINK("https://www.google.ru/search?q=1285482-002&amp;newwindow=1&amp;tbm=isch","Еще фото")</f>
        <v>Еще фото</v>
      </c>
      <c r="F612" s="13"/>
      <c r="G612" s="11" t="s">
        <v>808</v>
      </c>
      <c r="H612" s="11" t="s">
        <v>593</v>
      </c>
      <c r="I612" s="14" t="s">
        <v>809</v>
      </c>
      <c r="J612" s="14" t="s">
        <v>29</v>
      </c>
      <c r="K612" s="15" t="s">
        <v>64</v>
      </c>
      <c r="L612" s="56" t="s">
        <v>909</v>
      </c>
      <c r="M612" s="14" t="s">
        <v>910</v>
      </c>
      <c r="N612" s="14" t="s">
        <v>33</v>
      </c>
      <c r="O612" s="14" t="s">
        <v>34</v>
      </c>
      <c r="P612" s="15" t="s">
        <v>911</v>
      </c>
      <c r="Q612" s="16">
        <v>12999</v>
      </c>
      <c r="R612" s="17">
        <v>59.09</v>
      </c>
      <c r="S612" s="18">
        <v>6115.4354999999996</v>
      </c>
      <c r="T612" s="19" t="s">
        <v>36</v>
      </c>
      <c r="U612" s="20" t="s">
        <v>813</v>
      </c>
      <c r="V612" s="28">
        <v>35.5</v>
      </c>
      <c r="W612" s="22">
        <v>1</v>
      </c>
      <c r="X612" s="23"/>
    </row>
    <row r="613" spans="1:24" s="1" customFormat="1" ht="60.95" customHeight="1" x14ac:dyDescent="0.3">
      <c r="A613" s="24" t="s">
        <v>23</v>
      </c>
      <c r="B613" s="24" t="s">
        <v>907</v>
      </c>
      <c r="C613" s="12" t="s">
        <v>908</v>
      </c>
      <c r="D613" s="60"/>
      <c r="E613" s="39" t="str">
        <f>HYPERLINK("https://www.google.ru/search?q=1285482-002&amp;newwindow=1&amp;tbm=isch","Еще фото")</f>
        <v>Еще фото</v>
      </c>
      <c r="F613" s="13"/>
      <c r="G613" s="24" t="s">
        <v>808</v>
      </c>
      <c r="H613" s="24" t="s">
        <v>593</v>
      </c>
      <c r="I613" s="24" t="s">
        <v>809</v>
      </c>
      <c r="J613" s="14" t="s">
        <v>29</v>
      </c>
      <c r="K613" s="15" t="s">
        <v>64</v>
      </c>
      <c r="L613" s="58"/>
      <c r="M613" s="14" t="s">
        <v>910</v>
      </c>
      <c r="N613" s="14" t="s">
        <v>33</v>
      </c>
      <c r="O613" s="14" t="s">
        <v>34</v>
      </c>
      <c r="P613" s="15" t="s">
        <v>911</v>
      </c>
      <c r="Q613" s="16">
        <v>12999</v>
      </c>
      <c r="R613" s="17">
        <v>59.09</v>
      </c>
      <c r="S613" s="18">
        <v>6115.4354999999996</v>
      </c>
      <c r="T613" s="19" t="s">
        <v>36</v>
      </c>
      <c r="U613" s="20" t="s">
        <v>820</v>
      </c>
      <c r="V613" s="22">
        <v>36</v>
      </c>
      <c r="W613" s="22">
        <v>1</v>
      </c>
      <c r="X613" s="23"/>
    </row>
    <row r="614" spans="1:24" s="1" customFormat="1" ht="35.1" customHeight="1" x14ac:dyDescent="0.3">
      <c r="A614" s="11" t="s">
        <v>23</v>
      </c>
      <c r="B614" s="11" t="s">
        <v>912</v>
      </c>
      <c r="C614" s="12" t="s">
        <v>913</v>
      </c>
      <c r="D614" s="53"/>
      <c r="E614" s="39" t="str">
        <f>HYPERLINK("https://www.google.ru/search?q=3024131-501&amp;newwindow=1&amp;tbm=isch","Еще фото")</f>
        <v>Еще фото</v>
      </c>
      <c r="F614" s="13"/>
      <c r="G614" s="11" t="s">
        <v>808</v>
      </c>
      <c r="H614" s="11" t="s">
        <v>593</v>
      </c>
      <c r="I614" s="14" t="s">
        <v>809</v>
      </c>
      <c r="J614" s="14" t="s">
        <v>29</v>
      </c>
      <c r="K614" s="15" t="s">
        <v>64</v>
      </c>
      <c r="L614" s="56" t="s">
        <v>914</v>
      </c>
      <c r="M614" s="14" t="s">
        <v>49</v>
      </c>
      <c r="N614" s="14" t="s">
        <v>84</v>
      </c>
      <c r="O614" s="14" t="s">
        <v>34</v>
      </c>
      <c r="P614" s="15" t="s">
        <v>915</v>
      </c>
      <c r="Q614" s="16">
        <v>7499</v>
      </c>
      <c r="R614" s="17">
        <v>58.96</v>
      </c>
      <c r="S614" s="18">
        <v>3539.4354999999996</v>
      </c>
      <c r="T614" s="19" t="s">
        <v>36</v>
      </c>
      <c r="U614" s="20" t="s">
        <v>813</v>
      </c>
      <c r="V614" s="28">
        <v>35.5</v>
      </c>
      <c r="W614" s="22">
        <v>7</v>
      </c>
      <c r="X614" s="23"/>
    </row>
    <row r="615" spans="1:24" s="1" customFormat="1" ht="35.1" customHeight="1" x14ac:dyDescent="0.3">
      <c r="A615" s="24" t="s">
        <v>23</v>
      </c>
      <c r="B615" s="24" t="s">
        <v>912</v>
      </c>
      <c r="C615" s="12" t="s">
        <v>913</v>
      </c>
      <c r="D615" s="54"/>
      <c r="E615" s="39" t="str">
        <f>HYPERLINK("https://www.google.ru/search?q=3024131-501&amp;newwindow=1&amp;tbm=isch","Еще фото")</f>
        <v>Еще фото</v>
      </c>
      <c r="F615" s="13"/>
      <c r="G615" s="24" t="s">
        <v>808</v>
      </c>
      <c r="H615" s="24" t="s">
        <v>593</v>
      </c>
      <c r="I615" s="24" t="s">
        <v>809</v>
      </c>
      <c r="J615" s="14" t="s">
        <v>29</v>
      </c>
      <c r="K615" s="15" t="s">
        <v>64</v>
      </c>
      <c r="L615" s="57"/>
      <c r="M615" s="14" t="s">
        <v>49</v>
      </c>
      <c r="N615" s="14" t="s">
        <v>84</v>
      </c>
      <c r="O615" s="14" t="s">
        <v>34</v>
      </c>
      <c r="P615" s="15" t="s">
        <v>915</v>
      </c>
      <c r="Q615" s="16">
        <v>7499</v>
      </c>
      <c r="R615" s="17">
        <v>58.96</v>
      </c>
      <c r="S615" s="18">
        <v>3539.4354999999996</v>
      </c>
      <c r="T615" s="19" t="s">
        <v>36</v>
      </c>
      <c r="U615" s="20" t="s">
        <v>820</v>
      </c>
      <c r="V615" s="22">
        <v>36</v>
      </c>
      <c r="W615" s="22">
        <v>4</v>
      </c>
      <c r="X615" s="23"/>
    </row>
    <row r="616" spans="1:24" s="1" customFormat="1" ht="36.950000000000003" customHeight="1" x14ac:dyDescent="0.3">
      <c r="A616" s="24" t="s">
        <v>23</v>
      </c>
      <c r="B616" s="24" t="s">
        <v>912</v>
      </c>
      <c r="C616" s="12" t="s">
        <v>913</v>
      </c>
      <c r="D616" s="55"/>
      <c r="E616" s="39" t="str">
        <f>HYPERLINK("https://www.google.ru/search?q=3024131-501&amp;newwindow=1&amp;tbm=isch","Еще фото")</f>
        <v>Еще фото</v>
      </c>
      <c r="F616" s="13"/>
      <c r="G616" s="24" t="s">
        <v>808</v>
      </c>
      <c r="H616" s="24" t="s">
        <v>593</v>
      </c>
      <c r="I616" s="24" t="s">
        <v>809</v>
      </c>
      <c r="J616" s="14" t="s">
        <v>29</v>
      </c>
      <c r="K616" s="15" t="s">
        <v>64</v>
      </c>
      <c r="L616" s="58"/>
      <c r="M616" s="14" t="s">
        <v>49</v>
      </c>
      <c r="N616" s="14" t="s">
        <v>84</v>
      </c>
      <c r="O616" s="14" t="s">
        <v>34</v>
      </c>
      <c r="P616" s="15" t="s">
        <v>915</v>
      </c>
      <c r="Q616" s="16">
        <v>7499</v>
      </c>
      <c r="R616" s="17">
        <v>58.96</v>
      </c>
      <c r="S616" s="18">
        <v>3539.4354999999996</v>
      </c>
      <c r="T616" s="19" t="s">
        <v>36</v>
      </c>
      <c r="U616" s="20" t="s">
        <v>814</v>
      </c>
      <c r="V616" s="28">
        <v>36.5</v>
      </c>
      <c r="W616" s="22">
        <v>6</v>
      </c>
      <c r="X616" s="23"/>
    </row>
    <row r="617" spans="1:24" s="1" customFormat="1" ht="21" customHeight="1" x14ac:dyDescent="0.3">
      <c r="A617" s="11" t="s">
        <v>23</v>
      </c>
      <c r="B617" s="11" t="s">
        <v>916</v>
      </c>
      <c r="C617" s="26" t="s">
        <v>917</v>
      </c>
      <c r="D617" s="53"/>
      <c r="E617" s="39" t="str">
        <f>HYPERLINK("https://www.google.ru/search?q=3027386-001&amp;newwindow=1&amp;tbm=isch","Еще фото")</f>
        <v>Еще фото</v>
      </c>
      <c r="F617" s="13"/>
      <c r="G617" s="11" t="s">
        <v>592</v>
      </c>
      <c r="H617" s="11" t="s">
        <v>593</v>
      </c>
      <c r="I617" s="14" t="s">
        <v>809</v>
      </c>
      <c r="J617" s="14" t="s">
        <v>595</v>
      </c>
      <c r="K617" s="15" t="s">
        <v>64</v>
      </c>
      <c r="L617" s="56" t="s">
        <v>918</v>
      </c>
      <c r="M617" s="14"/>
      <c r="N617" s="14" t="s">
        <v>33</v>
      </c>
      <c r="O617" s="14"/>
      <c r="P617" s="15" t="s">
        <v>919</v>
      </c>
      <c r="Q617" s="16">
        <v>18599</v>
      </c>
      <c r="R617" s="17">
        <v>58.93</v>
      </c>
      <c r="S617" s="18">
        <v>8783.4354999999996</v>
      </c>
      <c r="T617" s="19" t="s">
        <v>36</v>
      </c>
      <c r="U617" s="20" t="s">
        <v>820</v>
      </c>
      <c r="V617" s="22">
        <v>36</v>
      </c>
      <c r="W617" s="22">
        <v>5</v>
      </c>
      <c r="X617" s="23"/>
    </row>
    <row r="618" spans="1:24" s="1" customFormat="1" ht="21" customHeight="1" x14ac:dyDescent="0.3">
      <c r="A618" s="24" t="s">
        <v>23</v>
      </c>
      <c r="B618" s="24" t="s">
        <v>916</v>
      </c>
      <c r="C618" s="27" t="s">
        <v>917</v>
      </c>
      <c r="D618" s="54"/>
      <c r="E618" s="39" t="str">
        <f>HYPERLINK("https://www.google.ru/search?q=3027386-001&amp;newwindow=1&amp;tbm=isch","Еще фото")</f>
        <v>Еще фото</v>
      </c>
      <c r="F618" s="13"/>
      <c r="G618" s="24" t="s">
        <v>592</v>
      </c>
      <c r="H618" s="24" t="s">
        <v>593</v>
      </c>
      <c r="I618" s="24" t="s">
        <v>809</v>
      </c>
      <c r="J618" s="14" t="s">
        <v>595</v>
      </c>
      <c r="K618" s="15" t="s">
        <v>64</v>
      </c>
      <c r="L618" s="57"/>
      <c r="M618" s="14"/>
      <c r="N618" s="14" t="s">
        <v>33</v>
      </c>
      <c r="O618" s="14"/>
      <c r="P618" s="15" t="s">
        <v>919</v>
      </c>
      <c r="Q618" s="16">
        <v>18599</v>
      </c>
      <c r="R618" s="17">
        <v>58.93</v>
      </c>
      <c r="S618" s="18">
        <v>8783.4354999999996</v>
      </c>
      <c r="T618" s="19" t="s">
        <v>36</v>
      </c>
      <c r="U618" s="20" t="s">
        <v>598</v>
      </c>
      <c r="V618" s="22">
        <v>37</v>
      </c>
      <c r="W618" s="22">
        <v>6</v>
      </c>
      <c r="X618" s="23"/>
    </row>
    <row r="619" spans="1:24" s="1" customFormat="1" ht="21" customHeight="1" x14ac:dyDescent="0.3">
      <c r="A619" s="24" t="s">
        <v>23</v>
      </c>
      <c r="B619" s="24" t="s">
        <v>916</v>
      </c>
      <c r="C619" s="27" t="s">
        <v>917</v>
      </c>
      <c r="D619" s="54"/>
      <c r="E619" s="39" t="str">
        <f>HYPERLINK("https://www.google.ru/search?q=3027386-001&amp;newwindow=1&amp;tbm=isch","Еще фото")</f>
        <v>Еще фото</v>
      </c>
      <c r="F619" s="13"/>
      <c r="G619" s="24" t="s">
        <v>592</v>
      </c>
      <c r="H619" s="24" t="s">
        <v>593</v>
      </c>
      <c r="I619" s="24" t="s">
        <v>809</v>
      </c>
      <c r="J619" s="14" t="s">
        <v>595</v>
      </c>
      <c r="K619" s="15" t="s">
        <v>64</v>
      </c>
      <c r="L619" s="57"/>
      <c r="M619" s="14"/>
      <c r="N619" s="14" t="s">
        <v>33</v>
      </c>
      <c r="O619" s="14"/>
      <c r="P619" s="15" t="s">
        <v>919</v>
      </c>
      <c r="Q619" s="16">
        <v>18599</v>
      </c>
      <c r="R619" s="17">
        <v>58.93</v>
      </c>
      <c r="S619" s="18">
        <v>8783.4354999999996</v>
      </c>
      <c r="T619" s="19" t="s">
        <v>36</v>
      </c>
      <c r="U619" s="20" t="s">
        <v>599</v>
      </c>
      <c r="V619" s="28">
        <v>37.5</v>
      </c>
      <c r="W619" s="22">
        <v>11</v>
      </c>
      <c r="X619" s="23"/>
    </row>
    <row r="620" spans="1:24" s="1" customFormat="1" ht="21" customHeight="1" x14ac:dyDescent="0.3">
      <c r="A620" s="24" t="s">
        <v>23</v>
      </c>
      <c r="B620" s="24" t="s">
        <v>916</v>
      </c>
      <c r="C620" s="27" t="s">
        <v>917</v>
      </c>
      <c r="D620" s="54"/>
      <c r="E620" s="39" t="str">
        <f>HYPERLINK("https://www.google.ru/search?q=3027386-001&amp;newwindow=1&amp;tbm=isch","Еще фото")</f>
        <v>Еще фото</v>
      </c>
      <c r="F620" s="13"/>
      <c r="G620" s="24" t="s">
        <v>592</v>
      </c>
      <c r="H620" s="24" t="s">
        <v>593</v>
      </c>
      <c r="I620" s="24" t="s">
        <v>809</v>
      </c>
      <c r="J620" s="14" t="s">
        <v>595</v>
      </c>
      <c r="K620" s="15" t="s">
        <v>64</v>
      </c>
      <c r="L620" s="57"/>
      <c r="M620" s="14"/>
      <c r="N620" s="14" t="s">
        <v>33</v>
      </c>
      <c r="O620" s="14"/>
      <c r="P620" s="15" t="s">
        <v>919</v>
      </c>
      <c r="Q620" s="16">
        <v>18599</v>
      </c>
      <c r="R620" s="17">
        <v>58.93</v>
      </c>
      <c r="S620" s="18">
        <v>8783.4354999999996</v>
      </c>
      <c r="T620" s="19" t="s">
        <v>36</v>
      </c>
      <c r="U620" s="20" t="s">
        <v>600</v>
      </c>
      <c r="V620" s="22">
        <v>38</v>
      </c>
      <c r="W620" s="22">
        <v>4</v>
      </c>
      <c r="X620" s="23"/>
    </row>
    <row r="621" spans="1:24" s="1" customFormat="1" ht="32.1" customHeight="1" x14ac:dyDescent="0.3">
      <c r="A621" s="24" t="s">
        <v>23</v>
      </c>
      <c r="B621" s="24" t="s">
        <v>916</v>
      </c>
      <c r="C621" s="27" t="s">
        <v>917</v>
      </c>
      <c r="D621" s="55"/>
      <c r="E621" s="39" t="str">
        <f>HYPERLINK("https://www.google.ru/search?q=3027386-001&amp;newwindow=1&amp;tbm=isch","Еще фото")</f>
        <v>Еще фото</v>
      </c>
      <c r="F621" s="13"/>
      <c r="G621" s="24" t="s">
        <v>592</v>
      </c>
      <c r="H621" s="24" t="s">
        <v>593</v>
      </c>
      <c r="I621" s="24" t="s">
        <v>809</v>
      </c>
      <c r="J621" s="14" t="s">
        <v>595</v>
      </c>
      <c r="K621" s="15" t="s">
        <v>64</v>
      </c>
      <c r="L621" s="58"/>
      <c r="M621" s="14"/>
      <c r="N621" s="14" t="s">
        <v>33</v>
      </c>
      <c r="O621" s="14"/>
      <c r="P621" s="15" t="s">
        <v>919</v>
      </c>
      <c r="Q621" s="16">
        <v>18599</v>
      </c>
      <c r="R621" s="17">
        <v>58.93</v>
      </c>
      <c r="S621" s="18">
        <v>8783.4354999999996</v>
      </c>
      <c r="T621" s="19" t="s">
        <v>36</v>
      </c>
      <c r="U621" s="20" t="s">
        <v>601</v>
      </c>
      <c r="V621" s="22">
        <v>39</v>
      </c>
      <c r="W621" s="22">
        <v>4</v>
      </c>
      <c r="X621" s="23"/>
    </row>
    <row r="622" spans="1:24" s="1" customFormat="1" ht="35.1" customHeight="1" x14ac:dyDescent="0.3">
      <c r="A622" s="11" t="s">
        <v>23</v>
      </c>
      <c r="B622" s="11" t="s">
        <v>920</v>
      </c>
      <c r="C622" s="12" t="s">
        <v>921</v>
      </c>
      <c r="D622" s="53"/>
      <c r="E622" s="39" t="str">
        <f>HYPERLINK("https://www.google.ru/search?q=3027199-500&amp;newwindow=1&amp;tbm=isch","Еще фото")</f>
        <v>Еще фото</v>
      </c>
      <c r="F622" s="13"/>
      <c r="G622" s="11" t="s">
        <v>808</v>
      </c>
      <c r="H622" s="11" t="s">
        <v>593</v>
      </c>
      <c r="I622" s="14" t="s">
        <v>809</v>
      </c>
      <c r="J622" s="14" t="s">
        <v>29</v>
      </c>
      <c r="K622" s="15" t="s">
        <v>64</v>
      </c>
      <c r="L622" s="56" t="s">
        <v>922</v>
      </c>
      <c r="M622" s="14"/>
      <c r="N622" s="14" t="s">
        <v>91</v>
      </c>
      <c r="O622" s="14"/>
      <c r="P622" s="15" t="s">
        <v>923</v>
      </c>
      <c r="Q622" s="16">
        <v>20999</v>
      </c>
      <c r="R622" s="17">
        <v>58.87</v>
      </c>
      <c r="S622" s="18">
        <v>9933.4354999999996</v>
      </c>
      <c r="T622" s="19" t="s">
        <v>36</v>
      </c>
      <c r="U622" s="20" t="s">
        <v>598</v>
      </c>
      <c r="V622" s="22">
        <v>37</v>
      </c>
      <c r="W622" s="22">
        <v>3</v>
      </c>
      <c r="X622" s="23"/>
    </row>
    <row r="623" spans="1:24" s="1" customFormat="1" ht="35.1" customHeight="1" x14ac:dyDescent="0.3">
      <c r="A623" s="24" t="s">
        <v>23</v>
      </c>
      <c r="B623" s="24" t="s">
        <v>920</v>
      </c>
      <c r="C623" s="12" t="s">
        <v>921</v>
      </c>
      <c r="D623" s="54"/>
      <c r="E623" s="39" t="str">
        <f>HYPERLINK("https://www.google.ru/search?q=3027199-500&amp;newwindow=1&amp;tbm=isch","Еще фото")</f>
        <v>Еще фото</v>
      </c>
      <c r="F623" s="13"/>
      <c r="G623" s="24" t="s">
        <v>808</v>
      </c>
      <c r="H623" s="24" t="s">
        <v>593</v>
      </c>
      <c r="I623" s="24" t="s">
        <v>809</v>
      </c>
      <c r="J623" s="14" t="s">
        <v>29</v>
      </c>
      <c r="K623" s="15" t="s">
        <v>64</v>
      </c>
      <c r="L623" s="57"/>
      <c r="M623" s="14"/>
      <c r="N623" s="14" t="s">
        <v>91</v>
      </c>
      <c r="O623" s="14"/>
      <c r="P623" s="15" t="s">
        <v>923</v>
      </c>
      <c r="Q623" s="16">
        <v>20999</v>
      </c>
      <c r="R623" s="17">
        <v>58.87</v>
      </c>
      <c r="S623" s="18">
        <v>9933.4354999999996</v>
      </c>
      <c r="T623" s="19" t="s">
        <v>36</v>
      </c>
      <c r="U623" s="20" t="s">
        <v>601</v>
      </c>
      <c r="V623" s="22">
        <v>39</v>
      </c>
      <c r="W623" s="22">
        <v>1</v>
      </c>
      <c r="X623" s="23"/>
    </row>
    <row r="624" spans="1:24" s="1" customFormat="1" ht="36.950000000000003" customHeight="1" x14ac:dyDescent="0.3">
      <c r="A624" s="24" t="s">
        <v>23</v>
      </c>
      <c r="B624" s="24" t="s">
        <v>920</v>
      </c>
      <c r="C624" s="12" t="s">
        <v>921</v>
      </c>
      <c r="D624" s="55"/>
      <c r="E624" s="39" t="str">
        <f>HYPERLINK("https://www.google.ru/search?q=3027199-500&amp;newwindow=1&amp;tbm=isch","Еще фото")</f>
        <v>Еще фото</v>
      </c>
      <c r="F624" s="13"/>
      <c r="G624" s="24" t="s">
        <v>808</v>
      </c>
      <c r="H624" s="24" t="s">
        <v>593</v>
      </c>
      <c r="I624" s="24" t="s">
        <v>809</v>
      </c>
      <c r="J624" s="14" t="s">
        <v>29</v>
      </c>
      <c r="K624" s="15" t="s">
        <v>64</v>
      </c>
      <c r="L624" s="58"/>
      <c r="M624" s="14"/>
      <c r="N624" s="14" t="s">
        <v>91</v>
      </c>
      <c r="O624" s="14"/>
      <c r="P624" s="15" t="s">
        <v>923</v>
      </c>
      <c r="Q624" s="16">
        <v>20999</v>
      </c>
      <c r="R624" s="17">
        <v>58.87</v>
      </c>
      <c r="S624" s="18">
        <v>9933.4354999999996</v>
      </c>
      <c r="T624" s="19" t="s">
        <v>36</v>
      </c>
      <c r="U624" s="20" t="s">
        <v>602</v>
      </c>
      <c r="V624" s="28">
        <v>39.5</v>
      </c>
      <c r="W624" s="22">
        <v>1</v>
      </c>
      <c r="X624" s="23"/>
    </row>
    <row r="625" spans="1:24" s="1" customFormat="1" ht="14.1" customHeight="1" x14ac:dyDescent="0.3">
      <c r="A625" s="11" t="s">
        <v>23</v>
      </c>
      <c r="B625" s="11" t="s">
        <v>881</v>
      </c>
      <c r="C625" s="12" t="s">
        <v>924</v>
      </c>
      <c r="D625" s="53"/>
      <c r="E625" s="39" t="str">
        <f t="shared" ref="E625:E631" si="6">HYPERLINK("https://www.google.ru/search?q=3027006-001&amp;newwindow=1&amp;tbm=isch","Еще фото")</f>
        <v>Еще фото</v>
      </c>
      <c r="F625" s="13" t="s">
        <v>98</v>
      </c>
      <c r="G625" s="11" t="s">
        <v>808</v>
      </c>
      <c r="H625" s="11" t="s">
        <v>593</v>
      </c>
      <c r="I625" s="14" t="s">
        <v>809</v>
      </c>
      <c r="J625" s="14" t="s">
        <v>29</v>
      </c>
      <c r="K625" s="15" t="s">
        <v>64</v>
      </c>
      <c r="L625" s="56" t="s">
        <v>883</v>
      </c>
      <c r="M625" s="14"/>
      <c r="N625" s="14" t="s">
        <v>33</v>
      </c>
      <c r="O625" s="14"/>
      <c r="P625" s="15" t="s">
        <v>884</v>
      </c>
      <c r="Q625" s="16">
        <v>8399</v>
      </c>
      <c r="R625" s="17">
        <v>58.83</v>
      </c>
      <c r="S625" s="18">
        <v>3976.4354999999996</v>
      </c>
      <c r="T625" s="19" t="s">
        <v>36</v>
      </c>
      <c r="U625" s="20" t="s">
        <v>820</v>
      </c>
      <c r="V625" s="22">
        <v>36</v>
      </c>
      <c r="W625" s="22">
        <v>3</v>
      </c>
      <c r="X625" s="23"/>
    </row>
    <row r="626" spans="1:24" s="1" customFormat="1" ht="14.1" customHeight="1" x14ac:dyDescent="0.3">
      <c r="A626" s="24" t="s">
        <v>23</v>
      </c>
      <c r="B626" s="24" t="s">
        <v>881</v>
      </c>
      <c r="C626" s="12" t="s">
        <v>924</v>
      </c>
      <c r="D626" s="54"/>
      <c r="E626" s="39" t="str">
        <f t="shared" si="6"/>
        <v>Еще фото</v>
      </c>
      <c r="F626" s="13" t="s">
        <v>98</v>
      </c>
      <c r="G626" s="24" t="s">
        <v>808</v>
      </c>
      <c r="H626" s="24" t="s">
        <v>593</v>
      </c>
      <c r="I626" s="24" t="s">
        <v>809</v>
      </c>
      <c r="J626" s="14" t="s">
        <v>29</v>
      </c>
      <c r="K626" s="15" t="s">
        <v>64</v>
      </c>
      <c r="L626" s="57"/>
      <c r="M626" s="14"/>
      <c r="N626" s="14" t="s">
        <v>33</v>
      </c>
      <c r="O626" s="14"/>
      <c r="P626" s="15" t="s">
        <v>884</v>
      </c>
      <c r="Q626" s="16">
        <v>8399</v>
      </c>
      <c r="R626" s="17">
        <v>58.83</v>
      </c>
      <c r="S626" s="18">
        <v>3976.4354999999996</v>
      </c>
      <c r="T626" s="19" t="s">
        <v>36</v>
      </c>
      <c r="U626" s="20" t="s">
        <v>814</v>
      </c>
      <c r="V626" s="28">
        <v>36.5</v>
      </c>
      <c r="W626" s="22">
        <v>5</v>
      </c>
      <c r="X626" s="23"/>
    </row>
    <row r="627" spans="1:24" s="1" customFormat="1" ht="14.1" customHeight="1" x14ac:dyDescent="0.3">
      <c r="A627" s="24" t="s">
        <v>23</v>
      </c>
      <c r="B627" s="24" t="s">
        <v>881</v>
      </c>
      <c r="C627" s="12" t="s">
        <v>924</v>
      </c>
      <c r="D627" s="54"/>
      <c r="E627" s="39" t="str">
        <f t="shared" si="6"/>
        <v>Еще фото</v>
      </c>
      <c r="F627" s="13" t="s">
        <v>98</v>
      </c>
      <c r="G627" s="24" t="s">
        <v>808</v>
      </c>
      <c r="H627" s="24" t="s">
        <v>593</v>
      </c>
      <c r="I627" s="24" t="s">
        <v>809</v>
      </c>
      <c r="J627" s="14" t="s">
        <v>29</v>
      </c>
      <c r="K627" s="15" t="s">
        <v>64</v>
      </c>
      <c r="L627" s="57"/>
      <c r="M627" s="14"/>
      <c r="N627" s="14" t="s">
        <v>33</v>
      </c>
      <c r="O627" s="14"/>
      <c r="P627" s="15" t="s">
        <v>884</v>
      </c>
      <c r="Q627" s="16">
        <v>8399</v>
      </c>
      <c r="R627" s="17">
        <v>58.83</v>
      </c>
      <c r="S627" s="18">
        <v>3976.4354999999996</v>
      </c>
      <c r="T627" s="19" t="s">
        <v>36</v>
      </c>
      <c r="U627" s="20" t="s">
        <v>598</v>
      </c>
      <c r="V627" s="22">
        <v>37</v>
      </c>
      <c r="W627" s="22">
        <v>11</v>
      </c>
      <c r="X627" s="23"/>
    </row>
    <row r="628" spans="1:24" s="1" customFormat="1" ht="14.1" customHeight="1" x14ac:dyDescent="0.3">
      <c r="A628" s="24" t="s">
        <v>23</v>
      </c>
      <c r="B628" s="24" t="s">
        <v>881</v>
      </c>
      <c r="C628" s="12" t="s">
        <v>924</v>
      </c>
      <c r="D628" s="54"/>
      <c r="E628" s="39" t="str">
        <f t="shared" si="6"/>
        <v>Еще фото</v>
      </c>
      <c r="F628" s="13" t="s">
        <v>98</v>
      </c>
      <c r="G628" s="24" t="s">
        <v>808</v>
      </c>
      <c r="H628" s="24" t="s">
        <v>593</v>
      </c>
      <c r="I628" s="24" t="s">
        <v>809</v>
      </c>
      <c r="J628" s="14" t="s">
        <v>29</v>
      </c>
      <c r="K628" s="15" t="s">
        <v>64</v>
      </c>
      <c r="L628" s="57"/>
      <c r="M628" s="14"/>
      <c r="N628" s="14" t="s">
        <v>33</v>
      </c>
      <c r="O628" s="14"/>
      <c r="P628" s="15" t="s">
        <v>884</v>
      </c>
      <c r="Q628" s="16">
        <v>8399</v>
      </c>
      <c r="R628" s="17">
        <v>58.83</v>
      </c>
      <c r="S628" s="18">
        <v>3976.4354999999996</v>
      </c>
      <c r="T628" s="19" t="s">
        <v>36</v>
      </c>
      <c r="U628" s="20" t="s">
        <v>599</v>
      </c>
      <c r="V628" s="28">
        <v>37.5</v>
      </c>
      <c r="W628" s="22">
        <v>5</v>
      </c>
      <c r="X628" s="23"/>
    </row>
    <row r="629" spans="1:24" s="1" customFormat="1" ht="14.1" customHeight="1" x14ac:dyDescent="0.3">
      <c r="A629" s="24" t="s">
        <v>23</v>
      </c>
      <c r="B629" s="24" t="s">
        <v>881</v>
      </c>
      <c r="C629" s="12" t="s">
        <v>924</v>
      </c>
      <c r="D629" s="54"/>
      <c r="E629" s="39" t="str">
        <f t="shared" si="6"/>
        <v>Еще фото</v>
      </c>
      <c r="F629" s="13" t="s">
        <v>98</v>
      </c>
      <c r="G629" s="24" t="s">
        <v>808</v>
      </c>
      <c r="H629" s="24" t="s">
        <v>593</v>
      </c>
      <c r="I629" s="24" t="s">
        <v>809</v>
      </c>
      <c r="J629" s="14" t="s">
        <v>29</v>
      </c>
      <c r="K629" s="15" t="s">
        <v>64</v>
      </c>
      <c r="L629" s="57"/>
      <c r="M629" s="14"/>
      <c r="N629" s="14" t="s">
        <v>33</v>
      </c>
      <c r="O629" s="14"/>
      <c r="P629" s="15" t="s">
        <v>884</v>
      </c>
      <c r="Q629" s="16">
        <v>8399</v>
      </c>
      <c r="R629" s="17">
        <v>58.83</v>
      </c>
      <c r="S629" s="18">
        <v>3976.4354999999996</v>
      </c>
      <c r="T629" s="19" t="s">
        <v>36</v>
      </c>
      <c r="U629" s="20" t="s">
        <v>600</v>
      </c>
      <c r="V629" s="22">
        <v>38</v>
      </c>
      <c r="W629" s="22">
        <v>5</v>
      </c>
      <c r="X629" s="23"/>
    </row>
    <row r="630" spans="1:24" s="1" customFormat="1" ht="14.1" customHeight="1" x14ac:dyDescent="0.3">
      <c r="A630" s="24" t="s">
        <v>23</v>
      </c>
      <c r="B630" s="24" t="s">
        <v>881</v>
      </c>
      <c r="C630" s="12" t="s">
        <v>924</v>
      </c>
      <c r="D630" s="54"/>
      <c r="E630" s="39" t="str">
        <f t="shared" si="6"/>
        <v>Еще фото</v>
      </c>
      <c r="F630" s="13" t="s">
        <v>98</v>
      </c>
      <c r="G630" s="24" t="s">
        <v>808</v>
      </c>
      <c r="H630" s="24" t="s">
        <v>593</v>
      </c>
      <c r="I630" s="24" t="s">
        <v>809</v>
      </c>
      <c r="J630" s="14" t="s">
        <v>29</v>
      </c>
      <c r="K630" s="15" t="s">
        <v>64</v>
      </c>
      <c r="L630" s="57"/>
      <c r="M630" s="14"/>
      <c r="N630" s="14" t="s">
        <v>33</v>
      </c>
      <c r="O630" s="14"/>
      <c r="P630" s="15" t="s">
        <v>884</v>
      </c>
      <c r="Q630" s="16">
        <v>8399</v>
      </c>
      <c r="R630" s="17">
        <v>58.83</v>
      </c>
      <c r="S630" s="18">
        <v>3976.4354999999996</v>
      </c>
      <c r="T630" s="19" t="s">
        <v>36</v>
      </c>
      <c r="U630" s="20" t="s">
        <v>601</v>
      </c>
      <c r="V630" s="22">
        <v>39</v>
      </c>
      <c r="W630" s="22">
        <v>1</v>
      </c>
      <c r="X630" s="23"/>
    </row>
    <row r="631" spans="1:24" s="1" customFormat="1" ht="17.100000000000001" customHeight="1" x14ac:dyDescent="0.3">
      <c r="A631" s="24" t="s">
        <v>23</v>
      </c>
      <c r="B631" s="24" t="s">
        <v>881</v>
      </c>
      <c r="C631" s="12" t="s">
        <v>924</v>
      </c>
      <c r="D631" s="55"/>
      <c r="E631" s="39" t="str">
        <f t="shared" si="6"/>
        <v>Еще фото</v>
      </c>
      <c r="F631" s="13" t="s">
        <v>98</v>
      </c>
      <c r="G631" s="24" t="s">
        <v>808</v>
      </c>
      <c r="H631" s="24" t="s">
        <v>593</v>
      </c>
      <c r="I631" s="24" t="s">
        <v>809</v>
      </c>
      <c r="J631" s="14" t="s">
        <v>29</v>
      </c>
      <c r="K631" s="15" t="s">
        <v>64</v>
      </c>
      <c r="L631" s="58"/>
      <c r="M631" s="14"/>
      <c r="N631" s="14" t="s">
        <v>33</v>
      </c>
      <c r="O631" s="14"/>
      <c r="P631" s="15" t="s">
        <v>884</v>
      </c>
      <c r="Q631" s="16">
        <v>8399</v>
      </c>
      <c r="R631" s="17">
        <v>58.83</v>
      </c>
      <c r="S631" s="18">
        <v>3976.4354999999996</v>
      </c>
      <c r="T631" s="19" t="s">
        <v>36</v>
      </c>
      <c r="U631" s="20" t="s">
        <v>602</v>
      </c>
      <c r="V631" s="28">
        <v>39.5</v>
      </c>
      <c r="W631" s="22">
        <v>2</v>
      </c>
      <c r="X631" s="23"/>
    </row>
    <row r="632" spans="1:24" s="1" customFormat="1" ht="51.95" customHeight="1" x14ac:dyDescent="0.3">
      <c r="A632" s="11" t="s">
        <v>23</v>
      </c>
      <c r="B632" s="11" t="s">
        <v>925</v>
      </c>
      <c r="C632" s="12" t="s">
        <v>926</v>
      </c>
      <c r="D632" s="59"/>
      <c r="E632" s="39" t="str">
        <f>HYPERLINK("https://www.google.ru/search?q=3025459-001&amp;newwindow=1&amp;tbm=isch","Еще фото")</f>
        <v>Еще фото</v>
      </c>
      <c r="F632" s="13"/>
      <c r="G632" s="11" t="s">
        <v>808</v>
      </c>
      <c r="H632" s="11" t="s">
        <v>593</v>
      </c>
      <c r="I632" s="14" t="s">
        <v>809</v>
      </c>
      <c r="J632" s="14" t="s">
        <v>29</v>
      </c>
      <c r="K632" s="15" t="s">
        <v>64</v>
      </c>
      <c r="L632" s="56" t="s">
        <v>927</v>
      </c>
      <c r="M632" s="14" t="s">
        <v>836</v>
      </c>
      <c r="N632" s="14" t="s">
        <v>33</v>
      </c>
      <c r="O632" s="14"/>
      <c r="P632" s="15" t="s">
        <v>928</v>
      </c>
      <c r="Q632" s="16">
        <v>21999</v>
      </c>
      <c r="R632" s="17">
        <v>58.83</v>
      </c>
      <c r="S632" s="18">
        <v>10416.4355</v>
      </c>
      <c r="T632" s="19" t="s">
        <v>36</v>
      </c>
      <c r="U632" s="20" t="s">
        <v>813</v>
      </c>
      <c r="V632" s="28">
        <v>35.5</v>
      </c>
      <c r="W632" s="22">
        <v>1</v>
      </c>
      <c r="X632" s="23"/>
    </row>
    <row r="633" spans="1:24" s="1" customFormat="1" ht="60.95" customHeight="1" x14ac:dyDescent="0.3">
      <c r="A633" s="24" t="s">
        <v>23</v>
      </c>
      <c r="B633" s="24" t="s">
        <v>925</v>
      </c>
      <c r="C633" s="12" t="s">
        <v>926</v>
      </c>
      <c r="D633" s="60"/>
      <c r="E633" s="39" t="str">
        <f>HYPERLINK("https://www.google.ru/search?q=3025459-001&amp;newwindow=1&amp;tbm=isch","Еще фото")</f>
        <v>Еще фото</v>
      </c>
      <c r="F633" s="13"/>
      <c r="G633" s="24" t="s">
        <v>808</v>
      </c>
      <c r="H633" s="24" t="s">
        <v>593</v>
      </c>
      <c r="I633" s="24" t="s">
        <v>809</v>
      </c>
      <c r="J633" s="14" t="s">
        <v>29</v>
      </c>
      <c r="K633" s="15" t="s">
        <v>64</v>
      </c>
      <c r="L633" s="58"/>
      <c r="M633" s="14" t="s">
        <v>836</v>
      </c>
      <c r="N633" s="14" t="s">
        <v>33</v>
      </c>
      <c r="O633" s="14"/>
      <c r="P633" s="15" t="s">
        <v>928</v>
      </c>
      <c r="Q633" s="16">
        <v>21999</v>
      </c>
      <c r="R633" s="17">
        <v>58.83</v>
      </c>
      <c r="S633" s="18">
        <v>10416.4355</v>
      </c>
      <c r="T633" s="19" t="s">
        <v>36</v>
      </c>
      <c r="U633" s="20" t="s">
        <v>599</v>
      </c>
      <c r="V633" s="28">
        <v>37.5</v>
      </c>
      <c r="W633" s="22">
        <v>1</v>
      </c>
      <c r="X633" s="23"/>
    </row>
    <row r="634" spans="1:24" s="1" customFormat="1" ht="26.1" customHeight="1" x14ac:dyDescent="0.3">
      <c r="A634" s="11" t="s">
        <v>23</v>
      </c>
      <c r="B634" s="11" t="s">
        <v>929</v>
      </c>
      <c r="C634" s="12" t="s">
        <v>930</v>
      </c>
      <c r="D634" s="53"/>
      <c r="E634" s="39" t="str">
        <f>HYPERLINK("https://www.google.ru/search?q=1285455-003&amp;newwindow=1&amp;tbm=isch","Еще фото")</f>
        <v>Еще фото</v>
      </c>
      <c r="F634" s="13"/>
      <c r="G634" s="11" t="s">
        <v>808</v>
      </c>
      <c r="H634" s="11" t="s">
        <v>593</v>
      </c>
      <c r="I634" s="14" t="s">
        <v>809</v>
      </c>
      <c r="J634" s="14" t="s">
        <v>892</v>
      </c>
      <c r="K634" s="15" t="s">
        <v>54</v>
      </c>
      <c r="L634" s="56" t="s">
        <v>931</v>
      </c>
      <c r="M634" s="14" t="s">
        <v>932</v>
      </c>
      <c r="N634" s="14" t="s">
        <v>33</v>
      </c>
      <c r="O634" s="14" t="s">
        <v>34</v>
      </c>
      <c r="P634" s="15" t="s">
        <v>933</v>
      </c>
      <c r="Q634" s="16">
        <v>9099</v>
      </c>
      <c r="R634" s="17">
        <v>58.81</v>
      </c>
      <c r="S634" s="18">
        <v>4309.9354999999996</v>
      </c>
      <c r="T634" s="19" t="s">
        <v>36</v>
      </c>
      <c r="U634" s="20" t="s">
        <v>934</v>
      </c>
      <c r="V634" s="22">
        <v>35</v>
      </c>
      <c r="W634" s="22">
        <v>3</v>
      </c>
      <c r="X634" s="23"/>
    </row>
    <row r="635" spans="1:24" s="1" customFormat="1" ht="26.1" customHeight="1" x14ac:dyDescent="0.3">
      <c r="A635" s="24" t="s">
        <v>23</v>
      </c>
      <c r="B635" s="24" t="s">
        <v>929</v>
      </c>
      <c r="C635" s="12" t="s">
        <v>930</v>
      </c>
      <c r="D635" s="54"/>
      <c r="E635" s="39" t="str">
        <f>HYPERLINK("https://www.google.ru/search?q=1285455-003&amp;newwindow=1&amp;tbm=isch","Еще фото")</f>
        <v>Еще фото</v>
      </c>
      <c r="F635" s="13"/>
      <c r="G635" s="24" t="s">
        <v>808</v>
      </c>
      <c r="H635" s="24" t="s">
        <v>593</v>
      </c>
      <c r="I635" s="24" t="s">
        <v>809</v>
      </c>
      <c r="J635" s="14" t="s">
        <v>892</v>
      </c>
      <c r="K635" s="15" t="s">
        <v>54</v>
      </c>
      <c r="L635" s="57"/>
      <c r="M635" s="14" t="s">
        <v>932</v>
      </c>
      <c r="N635" s="14" t="s">
        <v>33</v>
      </c>
      <c r="O635" s="14" t="s">
        <v>34</v>
      </c>
      <c r="P635" s="15" t="s">
        <v>933</v>
      </c>
      <c r="Q635" s="16">
        <v>9099</v>
      </c>
      <c r="R635" s="17">
        <v>58.81</v>
      </c>
      <c r="S635" s="18">
        <v>4309.9354999999996</v>
      </c>
      <c r="T635" s="19" t="s">
        <v>36</v>
      </c>
      <c r="U635" s="20" t="s">
        <v>935</v>
      </c>
      <c r="V635" s="28">
        <v>35.5</v>
      </c>
      <c r="W635" s="22">
        <v>6</v>
      </c>
      <c r="X635" s="23"/>
    </row>
    <row r="636" spans="1:24" s="1" customFormat="1" ht="26.1" customHeight="1" x14ac:dyDescent="0.3">
      <c r="A636" s="24" t="s">
        <v>23</v>
      </c>
      <c r="B636" s="24" t="s">
        <v>929</v>
      </c>
      <c r="C636" s="12" t="s">
        <v>930</v>
      </c>
      <c r="D636" s="54"/>
      <c r="E636" s="39" t="str">
        <f>HYPERLINK("https://www.google.ru/search?q=1285455-003&amp;newwindow=1&amp;tbm=isch","Еще фото")</f>
        <v>Еще фото</v>
      </c>
      <c r="F636" s="13"/>
      <c r="G636" s="24" t="s">
        <v>808</v>
      </c>
      <c r="H636" s="24" t="s">
        <v>593</v>
      </c>
      <c r="I636" s="24" t="s">
        <v>809</v>
      </c>
      <c r="J636" s="14" t="s">
        <v>892</v>
      </c>
      <c r="K636" s="15" t="s">
        <v>54</v>
      </c>
      <c r="L636" s="57"/>
      <c r="M636" s="14" t="s">
        <v>932</v>
      </c>
      <c r="N636" s="14" t="s">
        <v>33</v>
      </c>
      <c r="O636" s="14" t="s">
        <v>34</v>
      </c>
      <c r="P636" s="15" t="s">
        <v>933</v>
      </c>
      <c r="Q636" s="16">
        <v>9099</v>
      </c>
      <c r="R636" s="17">
        <v>58.81</v>
      </c>
      <c r="S636" s="18">
        <v>4309.9354999999996</v>
      </c>
      <c r="T636" s="19" t="s">
        <v>36</v>
      </c>
      <c r="U636" s="20" t="s">
        <v>936</v>
      </c>
      <c r="V636" s="28">
        <v>36.5</v>
      </c>
      <c r="W636" s="22">
        <v>3</v>
      </c>
      <c r="X636" s="23"/>
    </row>
    <row r="637" spans="1:24" s="1" customFormat="1" ht="26.1" customHeight="1" x14ac:dyDescent="0.3">
      <c r="A637" s="24" t="s">
        <v>23</v>
      </c>
      <c r="B637" s="24" t="s">
        <v>929</v>
      </c>
      <c r="C637" s="12" t="s">
        <v>930</v>
      </c>
      <c r="D637" s="55"/>
      <c r="E637" s="39" t="str">
        <f>HYPERLINK("https://www.google.ru/search?q=1285455-003&amp;newwindow=1&amp;tbm=isch","Еще фото")</f>
        <v>Еще фото</v>
      </c>
      <c r="F637" s="13"/>
      <c r="G637" s="24" t="s">
        <v>808</v>
      </c>
      <c r="H637" s="24" t="s">
        <v>593</v>
      </c>
      <c r="I637" s="24" t="s">
        <v>809</v>
      </c>
      <c r="J637" s="14" t="s">
        <v>892</v>
      </c>
      <c r="K637" s="15" t="s">
        <v>54</v>
      </c>
      <c r="L637" s="58"/>
      <c r="M637" s="14" t="s">
        <v>932</v>
      </c>
      <c r="N637" s="14" t="s">
        <v>33</v>
      </c>
      <c r="O637" s="14" t="s">
        <v>34</v>
      </c>
      <c r="P637" s="15" t="s">
        <v>933</v>
      </c>
      <c r="Q637" s="16">
        <v>9099</v>
      </c>
      <c r="R637" s="17">
        <v>58.81</v>
      </c>
      <c r="S637" s="18">
        <v>4309.9354999999996</v>
      </c>
      <c r="T637" s="19" t="s">
        <v>36</v>
      </c>
      <c r="U637" s="20" t="s">
        <v>937</v>
      </c>
      <c r="V637" s="22">
        <v>37</v>
      </c>
      <c r="W637" s="22">
        <v>1</v>
      </c>
      <c r="X637" s="23"/>
    </row>
    <row r="638" spans="1:24" s="1" customFormat="1" ht="51.95" customHeight="1" x14ac:dyDescent="0.3">
      <c r="A638" s="11" t="s">
        <v>23</v>
      </c>
      <c r="B638" s="11" t="s">
        <v>815</v>
      </c>
      <c r="C638" s="12" t="s">
        <v>938</v>
      </c>
      <c r="D638" s="59"/>
      <c r="E638" s="39" t="str">
        <f>HYPERLINK("https://www.google.ru/search?q=3024889-003&amp;newwindow=1&amp;tbm=isch","Еще фото")</f>
        <v>Еще фото</v>
      </c>
      <c r="F638" s="13"/>
      <c r="G638" s="11" t="s">
        <v>808</v>
      </c>
      <c r="H638" s="11" t="s">
        <v>593</v>
      </c>
      <c r="I638" s="14" t="s">
        <v>809</v>
      </c>
      <c r="J638" s="14" t="s">
        <v>29</v>
      </c>
      <c r="K638" s="15" t="s">
        <v>64</v>
      </c>
      <c r="L638" s="56" t="s">
        <v>818</v>
      </c>
      <c r="M638" s="14" t="s">
        <v>811</v>
      </c>
      <c r="N638" s="14" t="s">
        <v>33</v>
      </c>
      <c r="O638" s="14"/>
      <c r="P638" s="15" t="s">
        <v>819</v>
      </c>
      <c r="Q638" s="16">
        <v>9099</v>
      </c>
      <c r="R638" s="17">
        <v>58.81</v>
      </c>
      <c r="S638" s="18">
        <v>4309.9354999999996</v>
      </c>
      <c r="T638" s="19" t="s">
        <v>36</v>
      </c>
      <c r="U638" s="20" t="s">
        <v>814</v>
      </c>
      <c r="V638" s="28">
        <v>36.5</v>
      </c>
      <c r="W638" s="22">
        <v>1</v>
      </c>
      <c r="X638" s="23"/>
    </row>
    <row r="639" spans="1:24" s="1" customFormat="1" ht="60.95" customHeight="1" x14ac:dyDescent="0.3">
      <c r="A639" s="24" t="s">
        <v>23</v>
      </c>
      <c r="B639" s="24" t="s">
        <v>815</v>
      </c>
      <c r="C639" s="12" t="s">
        <v>938</v>
      </c>
      <c r="D639" s="60"/>
      <c r="E639" s="39" t="str">
        <f>HYPERLINK("https://www.google.ru/search?q=3024889-003&amp;newwindow=1&amp;tbm=isch","Еще фото")</f>
        <v>Еще фото</v>
      </c>
      <c r="F639" s="13"/>
      <c r="G639" s="24" t="s">
        <v>808</v>
      </c>
      <c r="H639" s="24" t="s">
        <v>593</v>
      </c>
      <c r="I639" s="24" t="s">
        <v>809</v>
      </c>
      <c r="J639" s="14" t="s">
        <v>29</v>
      </c>
      <c r="K639" s="15" t="s">
        <v>64</v>
      </c>
      <c r="L639" s="58"/>
      <c r="M639" s="14" t="s">
        <v>811</v>
      </c>
      <c r="N639" s="14" t="s">
        <v>33</v>
      </c>
      <c r="O639" s="14"/>
      <c r="P639" s="15" t="s">
        <v>819</v>
      </c>
      <c r="Q639" s="16">
        <v>9099</v>
      </c>
      <c r="R639" s="17">
        <v>58.81</v>
      </c>
      <c r="S639" s="18">
        <v>4309.9354999999996</v>
      </c>
      <c r="T639" s="19" t="s">
        <v>36</v>
      </c>
      <c r="U639" s="20" t="s">
        <v>599</v>
      </c>
      <c r="V639" s="28">
        <v>37.5</v>
      </c>
      <c r="W639" s="22">
        <v>1</v>
      </c>
      <c r="X639" s="23"/>
    </row>
    <row r="640" spans="1:24" s="1" customFormat="1" ht="12.95" customHeight="1" x14ac:dyDescent="0.3">
      <c r="A640" s="11" t="s">
        <v>23</v>
      </c>
      <c r="B640" s="11" t="s">
        <v>939</v>
      </c>
      <c r="C640" s="12" t="s">
        <v>940</v>
      </c>
      <c r="D640" s="53"/>
      <c r="E640" s="39" t="str">
        <f t="shared" ref="E640:E647" si="7">HYPERLINK("https://www.google.ru/search?q=3027212-201&amp;newwindow=1&amp;tbm=isch","Еще фото")</f>
        <v>Еще фото</v>
      </c>
      <c r="F640" s="13"/>
      <c r="G640" s="11" t="s">
        <v>808</v>
      </c>
      <c r="H640" s="11" t="s">
        <v>593</v>
      </c>
      <c r="I640" s="14" t="s">
        <v>809</v>
      </c>
      <c r="J640" s="14" t="s">
        <v>840</v>
      </c>
      <c r="K640" s="15" t="s">
        <v>578</v>
      </c>
      <c r="L640" s="56" t="s">
        <v>941</v>
      </c>
      <c r="M640" s="14" t="s">
        <v>824</v>
      </c>
      <c r="N640" s="14" t="s">
        <v>249</v>
      </c>
      <c r="O640" s="14"/>
      <c r="P640" s="15" t="s">
        <v>942</v>
      </c>
      <c r="Q640" s="16">
        <v>21499</v>
      </c>
      <c r="R640" s="17">
        <v>58.8</v>
      </c>
      <c r="S640" s="18">
        <v>10186.4355</v>
      </c>
      <c r="T640" s="19" t="s">
        <v>36</v>
      </c>
      <c r="U640" s="35" t="s">
        <v>943</v>
      </c>
      <c r="V640" s="28">
        <v>39.5</v>
      </c>
      <c r="W640" s="22">
        <v>3</v>
      </c>
      <c r="X640" s="23"/>
    </row>
    <row r="641" spans="1:24" s="1" customFormat="1" ht="12.95" customHeight="1" x14ac:dyDescent="0.3">
      <c r="A641" s="24" t="s">
        <v>23</v>
      </c>
      <c r="B641" s="24" t="s">
        <v>939</v>
      </c>
      <c r="C641" s="12" t="s">
        <v>940</v>
      </c>
      <c r="D641" s="54"/>
      <c r="E641" s="39" t="str">
        <f t="shared" si="7"/>
        <v>Еще фото</v>
      </c>
      <c r="F641" s="13"/>
      <c r="G641" s="24" t="s">
        <v>808</v>
      </c>
      <c r="H641" s="24" t="s">
        <v>593</v>
      </c>
      <c r="I641" s="24" t="s">
        <v>809</v>
      </c>
      <c r="J641" s="14" t="s">
        <v>840</v>
      </c>
      <c r="K641" s="15" t="s">
        <v>578</v>
      </c>
      <c r="L641" s="57"/>
      <c r="M641" s="14" t="s">
        <v>824</v>
      </c>
      <c r="N641" s="14" t="s">
        <v>249</v>
      </c>
      <c r="O641" s="14"/>
      <c r="P641" s="15" t="s">
        <v>942</v>
      </c>
      <c r="Q641" s="16">
        <v>21499</v>
      </c>
      <c r="R641" s="17">
        <v>58.8</v>
      </c>
      <c r="S641" s="18">
        <v>10186.4355</v>
      </c>
      <c r="T641" s="19" t="s">
        <v>36</v>
      </c>
      <c r="U641" s="20" t="s">
        <v>944</v>
      </c>
      <c r="V641" s="22">
        <v>40</v>
      </c>
      <c r="W641" s="22">
        <v>7</v>
      </c>
      <c r="X641" s="23"/>
    </row>
    <row r="642" spans="1:24" s="1" customFormat="1" ht="12.95" customHeight="1" x14ac:dyDescent="0.3">
      <c r="A642" s="24" t="s">
        <v>23</v>
      </c>
      <c r="B642" s="24" t="s">
        <v>939</v>
      </c>
      <c r="C642" s="12" t="s">
        <v>940</v>
      </c>
      <c r="D642" s="54"/>
      <c r="E642" s="39" t="str">
        <f t="shared" si="7"/>
        <v>Еще фото</v>
      </c>
      <c r="F642" s="13"/>
      <c r="G642" s="24" t="s">
        <v>808</v>
      </c>
      <c r="H642" s="24" t="s">
        <v>593</v>
      </c>
      <c r="I642" s="24" t="s">
        <v>809</v>
      </c>
      <c r="J642" s="14" t="s">
        <v>840</v>
      </c>
      <c r="K642" s="15" t="s">
        <v>578</v>
      </c>
      <c r="L642" s="57"/>
      <c r="M642" s="14" t="s">
        <v>824</v>
      </c>
      <c r="N642" s="14" t="s">
        <v>249</v>
      </c>
      <c r="O642" s="14"/>
      <c r="P642" s="15" t="s">
        <v>942</v>
      </c>
      <c r="Q642" s="16">
        <v>21499</v>
      </c>
      <c r="R642" s="17">
        <v>58.8</v>
      </c>
      <c r="S642" s="18">
        <v>10186.4355</v>
      </c>
      <c r="T642" s="19" t="s">
        <v>36</v>
      </c>
      <c r="U642" s="20" t="s">
        <v>945</v>
      </c>
      <c r="V642" s="22">
        <v>41</v>
      </c>
      <c r="W642" s="22">
        <v>10</v>
      </c>
      <c r="X642" s="23"/>
    </row>
    <row r="643" spans="1:24" s="1" customFormat="1" ht="12.95" customHeight="1" x14ac:dyDescent="0.3">
      <c r="A643" s="24" t="s">
        <v>23</v>
      </c>
      <c r="B643" s="24" t="s">
        <v>939</v>
      </c>
      <c r="C643" s="12" t="s">
        <v>940</v>
      </c>
      <c r="D643" s="54"/>
      <c r="E643" s="39" t="str">
        <f t="shared" si="7"/>
        <v>Еще фото</v>
      </c>
      <c r="F643" s="13"/>
      <c r="G643" s="24" t="s">
        <v>808</v>
      </c>
      <c r="H643" s="24" t="s">
        <v>593</v>
      </c>
      <c r="I643" s="24" t="s">
        <v>809</v>
      </c>
      <c r="J643" s="14" t="s">
        <v>840</v>
      </c>
      <c r="K643" s="15" t="s">
        <v>578</v>
      </c>
      <c r="L643" s="57"/>
      <c r="M643" s="14" t="s">
        <v>824</v>
      </c>
      <c r="N643" s="14" t="s">
        <v>249</v>
      </c>
      <c r="O643" s="14"/>
      <c r="P643" s="15" t="s">
        <v>942</v>
      </c>
      <c r="Q643" s="16">
        <v>21499</v>
      </c>
      <c r="R643" s="17">
        <v>58.8</v>
      </c>
      <c r="S643" s="18">
        <v>10186.4355</v>
      </c>
      <c r="T643" s="19" t="s">
        <v>36</v>
      </c>
      <c r="U643" s="20" t="s">
        <v>875</v>
      </c>
      <c r="V643" s="28">
        <v>41.5</v>
      </c>
      <c r="W643" s="22">
        <v>8</v>
      </c>
      <c r="X643" s="23"/>
    </row>
    <row r="644" spans="1:24" s="1" customFormat="1" ht="12.95" customHeight="1" x14ac:dyDescent="0.3">
      <c r="A644" s="24" t="s">
        <v>23</v>
      </c>
      <c r="B644" s="24" t="s">
        <v>939</v>
      </c>
      <c r="C644" s="12" t="s">
        <v>940</v>
      </c>
      <c r="D644" s="54"/>
      <c r="E644" s="39" t="str">
        <f t="shared" si="7"/>
        <v>Еще фото</v>
      </c>
      <c r="F644" s="13"/>
      <c r="G644" s="24" t="s">
        <v>808</v>
      </c>
      <c r="H644" s="24" t="s">
        <v>593</v>
      </c>
      <c r="I644" s="24" t="s">
        <v>809</v>
      </c>
      <c r="J644" s="14" t="s">
        <v>840</v>
      </c>
      <c r="K644" s="15" t="s">
        <v>578</v>
      </c>
      <c r="L644" s="57"/>
      <c r="M644" s="14" t="s">
        <v>824</v>
      </c>
      <c r="N644" s="14" t="s">
        <v>249</v>
      </c>
      <c r="O644" s="14"/>
      <c r="P644" s="15" t="s">
        <v>942</v>
      </c>
      <c r="Q644" s="16">
        <v>21499</v>
      </c>
      <c r="R644" s="17">
        <v>58.8</v>
      </c>
      <c r="S644" s="18">
        <v>10186.4355</v>
      </c>
      <c r="T644" s="19" t="s">
        <v>36</v>
      </c>
      <c r="U644" s="20" t="s">
        <v>876</v>
      </c>
      <c r="V644" s="22">
        <v>42</v>
      </c>
      <c r="W644" s="22">
        <v>6</v>
      </c>
      <c r="X644" s="23"/>
    </row>
    <row r="645" spans="1:24" s="1" customFormat="1" ht="12.95" customHeight="1" x14ac:dyDescent="0.3">
      <c r="A645" s="24" t="s">
        <v>23</v>
      </c>
      <c r="B645" s="24" t="s">
        <v>939</v>
      </c>
      <c r="C645" s="12" t="s">
        <v>940</v>
      </c>
      <c r="D645" s="54"/>
      <c r="E645" s="39" t="str">
        <f t="shared" si="7"/>
        <v>Еще фото</v>
      </c>
      <c r="F645" s="13"/>
      <c r="G645" s="24" t="s">
        <v>808</v>
      </c>
      <c r="H645" s="24" t="s">
        <v>593</v>
      </c>
      <c r="I645" s="24" t="s">
        <v>809</v>
      </c>
      <c r="J645" s="14" t="s">
        <v>840</v>
      </c>
      <c r="K645" s="15" t="s">
        <v>578</v>
      </c>
      <c r="L645" s="57"/>
      <c r="M645" s="14" t="s">
        <v>824</v>
      </c>
      <c r="N645" s="14" t="s">
        <v>249</v>
      </c>
      <c r="O645" s="14"/>
      <c r="P645" s="15" t="s">
        <v>942</v>
      </c>
      <c r="Q645" s="16">
        <v>21499</v>
      </c>
      <c r="R645" s="17">
        <v>58.8</v>
      </c>
      <c r="S645" s="18">
        <v>10186.4355</v>
      </c>
      <c r="T645" s="19" t="s">
        <v>36</v>
      </c>
      <c r="U645" s="20" t="s">
        <v>877</v>
      </c>
      <c r="V645" s="22">
        <v>43</v>
      </c>
      <c r="W645" s="22">
        <v>10</v>
      </c>
      <c r="X645" s="23"/>
    </row>
    <row r="646" spans="1:24" s="1" customFormat="1" ht="12.95" customHeight="1" x14ac:dyDescent="0.3">
      <c r="A646" s="24" t="s">
        <v>23</v>
      </c>
      <c r="B646" s="24" t="s">
        <v>939</v>
      </c>
      <c r="C646" s="12" t="s">
        <v>940</v>
      </c>
      <c r="D646" s="54"/>
      <c r="E646" s="39" t="str">
        <f t="shared" si="7"/>
        <v>Еще фото</v>
      </c>
      <c r="F646" s="13"/>
      <c r="G646" s="24" t="s">
        <v>808</v>
      </c>
      <c r="H646" s="24" t="s">
        <v>593</v>
      </c>
      <c r="I646" s="24" t="s">
        <v>809</v>
      </c>
      <c r="J646" s="14" t="s">
        <v>840</v>
      </c>
      <c r="K646" s="15" t="s">
        <v>578</v>
      </c>
      <c r="L646" s="57"/>
      <c r="M646" s="14" t="s">
        <v>824</v>
      </c>
      <c r="N646" s="14" t="s">
        <v>249</v>
      </c>
      <c r="O646" s="14"/>
      <c r="P646" s="15" t="s">
        <v>942</v>
      </c>
      <c r="Q646" s="16">
        <v>21499</v>
      </c>
      <c r="R646" s="17">
        <v>58.8</v>
      </c>
      <c r="S646" s="18">
        <v>10186.4355</v>
      </c>
      <c r="T646" s="19" t="s">
        <v>36</v>
      </c>
      <c r="U646" s="20" t="s">
        <v>878</v>
      </c>
      <c r="V646" s="28">
        <v>43.5</v>
      </c>
      <c r="W646" s="22">
        <v>4</v>
      </c>
      <c r="X646" s="23"/>
    </row>
    <row r="647" spans="1:24" s="1" customFormat="1" ht="18" customHeight="1" x14ac:dyDescent="0.3">
      <c r="A647" s="24" t="s">
        <v>23</v>
      </c>
      <c r="B647" s="24" t="s">
        <v>939</v>
      </c>
      <c r="C647" s="12" t="s">
        <v>940</v>
      </c>
      <c r="D647" s="55"/>
      <c r="E647" s="39" t="str">
        <f t="shared" si="7"/>
        <v>Еще фото</v>
      </c>
      <c r="F647" s="13"/>
      <c r="G647" s="24" t="s">
        <v>808</v>
      </c>
      <c r="H647" s="24" t="s">
        <v>593</v>
      </c>
      <c r="I647" s="24" t="s">
        <v>809</v>
      </c>
      <c r="J647" s="14" t="s">
        <v>840</v>
      </c>
      <c r="K647" s="15" t="s">
        <v>578</v>
      </c>
      <c r="L647" s="58"/>
      <c r="M647" s="14" t="s">
        <v>824</v>
      </c>
      <c r="N647" s="14" t="s">
        <v>249</v>
      </c>
      <c r="O647" s="14"/>
      <c r="P647" s="15" t="s">
        <v>942</v>
      </c>
      <c r="Q647" s="16">
        <v>21499</v>
      </c>
      <c r="R647" s="17">
        <v>58.8</v>
      </c>
      <c r="S647" s="18">
        <v>10186.4355</v>
      </c>
      <c r="T647" s="19" t="s">
        <v>36</v>
      </c>
      <c r="U647" s="20" t="s">
        <v>879</v>
      </c>
      <c r="V647" s="22">
        <v>44</v>
      </c>
      <c r="W647" s="22">
        <v>3</v>
      </c>
      <c r="X647" s="23"/>
    </row>
    <row r="648" spans="1:24" s="1" customFormat="1" ht="51.95" customHeight="1" x14ac:dyDescent="0.3">
      <c r="A648" s="11" t="s">
        <v>23</v>
      </c>
      <c r="B648" s="11" t="s">
        <v>946</v>
      </c>
      <c r="C648" s="12" t="s">
        <v>947</v>
      </c>
      <c r="D648" s="59"/>
      <c r="E648" s="39" t="str">
        <f>HYPERLINK("https://www.google.ru/search?q=3027777-001&amp;newwindow=1&amp;tbm=isch","Еще фото")</f>
        <v>Еще фото</v>
      </c>
      <c r="F648" s="13"/>
      <c r="G648" s="11" t="s">
        <v>808</v>
      </c>
      <c r="H648" s="11" t="s">
        <v>593</v>
      </c>
      <c r="I648" s="14" t="s">
        <v>809</v>
      </c>
      <c r="J648" s="14" t="s">
        <v>29</v>
      </c>
      <c r="K648" s="15" t="s">
        <v>64</v>
      </c>
      <c r="L648" s="56" t="s">
        <v>948</v>
      </c>
      <c r="M648" s="14"/>
      <c r="N648" s="14" t="s">
        <v>33</v>
      </c>
      <c r="O648" s="14"/>
      <c r="P648" s="15" t="s">
        <v>949</v>
      </c>
      <c r="Q648" s="16">
        <v>13799</v>
      </c>
      <c r="R648" s="17">
        <v>58.78</v>
      </c>
      <c r="S648" s="18">
        <v>6540.9354999999996</v>
      </c>
      <c r="T648" s="19" t="s">
        <v>36</v>
      </c>
      <c r="U648" s="20" t="s">
        <v>820</v>
      </c>
      <c r="V648" s="22">
        <v>36</v>
      </c>
      <c r="W648" s="22">
        <v>1</v>
      </c>
      <c r="X648" s="23"/>
    </row>
    <row r="649" spans="1:24" s="1" customFormat="1" ht="60.95" customHeight="1" x14ac:dyDescent="0.3">
      <c r="A649" s="24" t="s">
        <v>23</v>
      </c>
      <c r="B649" s="24" t="s">
        <v>946</v>
      </c>
      <c r="C649" s="12" t="s">
        <v>947</v>
      </c>
      <c r="D649" s="60"/>
      <c r="E649" s="39" t="str">
        <f>HYPERLINK("https://www.google.ru/search?q=3027777-001&amp;newwindow=1&amp;tbm=isch","Еще фото")</f>
        <v>Еще фото</v>
      </c>
      <c r="F649" s="13"/>
      <c r="G649" s="24" t="s">
        <v>808</v>
      </c>
      <c r="H649" s="24" t="s">
        <v>593</v>
      </c>
      <c r="I649" s="24" t="s">
        <v>809</v>
      </c>
      <c r="J649" s="14" t="s">
        <v>29</v>
      </c>
      <c r="K649" s="15" t="s">
        <v>64</v>
      </c>
      <c r="L649" s="58"/>
      <c r="M649" s="14"/>
      <c r="N649" s="14" t="s">
        <v>33</v>
      </c>
      <c r="O649" s="14"/>
      <c r="P649" s="15" t="s">
        <v>949</v>
      </c>
      <c r="Q649" s="16">
        <v>13799</v>
      </c>
      <c r="R649" s="17">
        <v>58.78</v>
      </c>
      <c r="S649" s="18">
        <v>6540.9354999999996</v>
      </c>
      <c r="T649" s="19" t="s">
        <v>36</v>
      </c>
      <c r="U649" s="20" t="s">
        <v>598</v>
      </c>
      <c r="V649" s="22">
        <v>37</v>
      </c>
      <c r="W649" s="22">
        <v>2</v>
      </c>
      <c r="X649" s="23"/>
    </row>
    <row r="650" spans="1:24" s="1" customFormat="1" ht="35.1" customHeight="1" x14ac:dyDescent="0.3">
      <c r="A650" s="11" t="s">
        <v>23</v>
      </c>
      <c r="B650" s="11" t="s">
        <v>950</v>
      </c>
      <c r="C650" s="12" t="s">
        <v>951</v>
      </c>
      <c r="D650" s="53"/>
      <c r="E650" s="39" t="str">
        <f>HYPERLINK("https://www.google.ru/search?q=3020139-100&amp;newwindow=1&amp;tbm=isch","Еще фото")</f>
        <v>Еще фото</v>
      </c>
      <c r="F650" s="13"/>
      <c r="G650" s="11" t="s">
        <v>808</v>
      </c>
      <c r="H650" s="11" t="s">
        <v>593</v>
      </c>
      <c r="I650" s="14" t="s">
        <v>809</v>
      </c>
      <c r="J650" s="14" t="s">
        <v>29</v>
      </c>
      <c r="K650" s="15" t="s">
        <v>64</v>
      </c>
      <c r="L650" s="56" t="s">
        <v>952</v>
      </c>
      <c r="M650" s="14" t="s">
        <v>910</v>
      </c>
      <c r="N650" s="14" t="s">
        <v>84</v>
      </c>
      <c r="O650" s="14" t="s">
        <v>34</v>
      </c>
      <c r="P650" s="15" t="s">
        <v>953</v>
      </c>
      <c r="Q650" s="16">
        <v>7699</v>
      </c>
      <c r="R650" s="17">
        <v>58.72</v>
      </c>
      <c r="S650" s="18">
        <v>3654.4354999999996</v>
      </c>
      <c r="T650" s="19" t="s">
        <v>36</v>
      </c>
      <c r="U650" s="20" t="s">
        <v>820</v>
      </c>
      <c r="V650" s="22">
        <v>36</v>
      </c>
      <c r="W650" s="22">
        <v>3</v>
      </c>
      <c r="X650" s="23"/>
    </row>
    <row r="651" spans="1:24" s="1" customFormat="1" ht="35.1" customHeight="1" x14ac:dyDescent="0.3">
      <c r="A651" s="24" t="s">
        <v>23</v>
      </c>
      <c r="B651" s="24" t="s">
        <v>950</v>
      </c>
      <c r="C651" s="12" t="s">
        <v>951</v>
      </c>
      <c r="D651" s="54"/>
      <c r="E651" s="39" t="str">
        <f>HYPERLINK("https://www.google.ru/search?q=3020139-100&amp;newwindow=1&amp;tbm=isch","Еще фото")</f>
        <v>Еще фото</v>
      </c>
      <c r="F651" s="13"/>
      <c r="G651" s="24" t="s">
        <v>808</v>
      </c>
      <c r="H651" s="24" t="s">
        <v>593</v>
      </c>
      <c r="I651" s="24" t="s">
        <v>809</v>
      </c>
      <c r="J651" s="14" t="s">
        <v>29</v>
      </c>
      <c r="K651" s="15" t="s">
        <v>64</v>
      </c>
      <c r="L651" s="57"/>
      <c r="M651" s="14" t="s">
        <v>910</v>
      </c>
      <c r="N651" s="14" t="s">
        <v>84</v>
      </c>
      <c r="O651" s="14" t="s">
        <v>34</v>
      </c>
      <c r="P651" s="15" t="s">
        <v>953</v>
      </c>
      <c r="Q651" s="16">
        <v>7699</v>
      </c>
      <c r="R651" s="17">
        <v>58.72</v>
      </c>
      <c r="S651" s="18">
        <v>3654.4354999999996</v>
      </c>
      <c r="T651" s="19" t="s">
        <v>36</v>
      </c>
      <c r="U651" s="20" t="s">
        <v>814</v>
      </c>
      <c r="V651" s="28">
        <v>36.5</v>
      </c>
      <c r="W651" s="22">
        <v>1</v>
      </c>
      <c r="X651" s="23"/>
    </row>
    <row r="652" spans="1:24" s="1" customFormat="1" ht="36.950000000000003" customHeight="1" x14ac:dyDescent="0.3">
      <c r="A652" s="24" t="s">
        <v>23</v>
      </c>
      <c r="B652" s="24" t="s">
        <v>950</v>
      </c>
      <c r="C652" s="12" t="s">
        <v>951</v>
      </c>
      <c r="D652" s="55"/>
      <c r="E652" s="39" t="str">
        <f>HYPERLINK("https://www.google.ru/search?q=3020139-100&amp;newwindow=1&amp;tbm=isch","Еще фото")</f>
        <v>Еще фото</v>
      </c>
      <c r="F652" s="13"/>
      <c r="G652" s="24" t="s">
        <v>808</v>
      </c>
      <c r="H652" s="24" t="s">
        <v>593</v>
      </c>
      <c r="I652" s="24" t="s">
        <v>809</v>
      </c>
      <c r="J652" s="14" t="s">
        <v>29</v>
      </c>
      <c r="K652" s="15" t="s">
        <v>64</v>
      </c>
      <c r="L652" s="58"/>
      <c r="M652" s="14" t="s">
        <v>910</v>
      </c>
      <c r="N652" s="14" t="s">
        <v>84</v>
      </c>
      <c r="O652" s="14" t="s">
        <v>34</v>
      </c>
      <c r="P652" s="15" t="s">
        <v>953</v>
      </c>
      <c r="Q652" s="16">
        <v>7699</v>
      </c>
      <c r="R652" s="17">
        <v>58.72</v>
      </c>
      <c r="S652" s="18">
        <v>3654.4354999999996</v>
      </c>
      <c r="T652" s="19" t="s">
        <v>36</v>
      </c>
      <c r="U652" s="20" t="s">
        <v>598</v>
      </c>
      <c r="V652" s="22">
        <v>37</v>
      </c>
      <c r="W652" s="22">
        <v>1</v>
      </c>
      <c r="X652" s="23"/>
    </row>
    <row r="653" spans="1:24" s="1" customFormat="1" ht="35.1" customHeight="1" x14ac:dyDescent="0.3">
      <c r="A653" s="11" t="s">
        <v>23</v>
      </c>
      <c r="B653" s="11" t="s">
        <v>939</v>
      </c>
      <c r="C653" s="12" t="s">
        <v>954</v>
      </c>
      <c r="D653" s="53"/>
      <c r="E653" s="39" t="str">
        <f>HYPERLINK("https://www.google.ru/search?q=3027212-004&amp;newwindow=1&amp;tbm=isch","Еще фото")</f>
        <v>Еще фото</v>
      </c>
      <c r="F653" s="13"/>
      <c r="G653" s="11" t="s">
        <v>808</v>
      </c>
      <c r="H653" s="11" t="s">
        <v>593</v>
      </c>
      <c r="I653" s="14" t="s">
        <v>809</v>
      </c>
      <c r="J653" s="14" t="s">
        <v>840</v>
      </c>
      <c r="K653" s="15" t="s">
        <v>578</v>
      </c>
      <c r="L653" s="56" t="s">
        <v>941</v>
      </c>
      <c r="M653" s="14" t="s">
        <v>824</v>
      </c>
      <c r="N653" s="14" t="s">
        <v>33</v>
      </c>
      <c r="O653" s="14"/>
      <c r="P653" s="15" t="s">
        <v>942</v>
      </c>
      <c r="Q653" s="16">
        <v>21499</v>
      </c>
      <c r="R653" s="17">
        <v>57.36</v>
      </c>
      <c r="S653" s="18">
        <v>10542.9355</v>
      </c>
      <c r="T653" s="19" t="s">
        <v>36</v>
      </c>
      <c r="U653" s="20" t="s">
        <v>955</v>
      </c>
      <c r="V653" s="22">
        <v>39</v>
      </c>
      <c r="W653" s="22">
        <v>1</v>
      </c>
      <c r="X653" s="23"/>
    </row>
    <row r="654" spans="1:24" s="1" customFormat="1" ht="35.1" customHeight="1" x14ac:dyDescent="0.3">
      <c r="A654" s="24" t="s">
        <v>23</v>
      </c>
      <c r="B654" s="24" t="s">
        <v>939</v>
      </c>
      <c r="C654" s="12" t="s">
        <v>954</v>
      </c>
      <c r="D654" s="54"/>
      <c r="E654" s="39" t="str">
        <f>HYPERLINK("https://www.google.ru/search?q=3027212-004&amp;newwindow=1&amp;tbm=isch","Еще фото")</f>
        <v>Еще фото</v>
      </c>
      <c r="F654" s="13"/>
      <c r="G654" s="24" t="s">
        <v>808</v>
      </c>
      <c r="H654" s="24" t="s">
        <v>593</v>
      </c>
      <c r="I654" s="24" t="s">
        <v>809</v>
      </c>
      <c r="J654" s="14" t="s">
        <v>840</v>
      </c>
      <c r="K654" s="15" t="s">
        <v>578</v>
      </c>
      <c r="L654" s="57"/>
      <c r="M654" s="14" t="s">
        <v>824</v>
      </c>
      <c r="N654" s="14" t="s">
        <v>33</v>
      </c>
      <c r="O654" s="14"/>
      <c r="P654" s="15" t="s">
        <v>942</v>
      </c>
      <c r="Q654" s="16">
        <v>21499</v>
      </c>
      <c r="R654" s="17">
        <v>57.36</v>
      </c>
      <c r="S654" s="18">
        <v>10542.9355</v>
      </c>
      <c r="T654" s="19" t="s">
        <v>36</v>
      </c>
      <c r="U654" s="20" t="s">
        <v>945</v>
      </c>
      <c r="V654" s="22">
        <v>41</v>
      </c>
      <c r="W654" s="22">
        <v>1</v>
      </c>
      <c r="X654" s="23"/>
    </row>
    <row r="655" spans="1:24" s="1" customFormat="1" ht="36.950000000000003" customHeight="1" x14ac:dyDescent="0.3">
      <c r="A655" s="24" t="s">
        <v>23</v>
      </c>
      <c r="B655" s="24" t="s">
        <v>939</v>
      </c>
      <c r="C655" s="12" t="s">
        <v>954</v>
      </c>
      <c r="D655" s="55"/>
      <c r="E655" s="39" t="str">
        <f>HYPERLINK("https://www.google.ru/search?q=3027212-004&amp;newwindow=1&amp;tbm=isch","Еще фото")</f>
        <v>Еще фото</v>
      </c>
      <c r="F655" s="13"/>
      <c r="G655" s="24" t="s">
        <v>808</v>
      </c>
      <c r="H655" s="24" t="s">
        <v>593</v>
      </c>
      <c r="I655" s="24" t="s">
        <v>809</v>
      </c>
      <c r="J655" s="14" t="s">
        <v>840</v>
      </c>
      <c r="K655" s="15" t="s">
        <v>578</v>
      </c>
      <c r="L655" s="58"/>
      <c r="M655" s="14" t="s">
        <v>824</v>
      </c>
      <c r="N655" s="14" t="s">
        <v>33</v>
      </c>
      <c r="O655" s="14"/>
      <c r="P655" s="15" t="s">
        <v>942</v>
      </c>
      <c r="Q655" s="16">
        <v>21499</v>
      </c>
      <c r="R655" s="17">
        <v>57.36</v>
      </c>
      <c r="S655" s="18">
        <v>10542.9355</v>
      </c>
      <c r="T655" s="19" t="s">
        <v>36</v>
      </c>
      <c r="U655" s="20" t="s">
        <v>876</v>
      </c>
      <c r="V655" s="22">
        <v>42</v>
      </c>
      <c r="W655" s="22">
        <v>2</v>
      </c>
      <c r="X655" s="23"/>
    </row>
    <row r="656" spans="1:24" s="1" customFormat="1" ht="35.1" customHeight="1" x14ac:dyDescent="0.3">
      <c r="A656" s="11" t="s">
        <v>23</v>
      </c>
      <c r="B656" s="11" t="s">
        <v>956</v>
      </c>
      <c r="C656" s="12" t="s">
        <v>957</v>
      </c>
      <c r="D656" s="53"/>
      <c r="E656" s="39" t="str">
        <f>HYPERLINK("https://www.google.ru/search?q=3023705-001&amp;newwindow=1&amp;tbm=isch","Еще фото")</f>
        <v>Еще фото</v>
      </c>
      <c r="F656" s="13"/>
      <c r="G656" s="11" t="s">
        <v>808</v>
      </c>
      <c r="H656" s="11" t="s">
        <v>593</v>
      </c>
      <c r="I656" s="14" t="s">
        <v>809</v>
      </c>
      <c r="J656" s="14" t="s">
        <v>29</v>
      </c>
      <c r="K656" s="15" t="s">
        <v>64</v>
      </c>
      <c r="L656" s="56" t="s">
        <v>958</v>
      </c>
      <c r="M656" s="14" t="s">
        <v>959</v>
      </c>
      <c r="N656" s="14" t="s">
        <v>33</v>
      </c>
      <c r="O656" s="14" t="s">
        <v>34</v>
      </c>
      <c r="P656" s="15" t="s">
        <v>960</v>
      </c>
      <c r="Q656" s="16">
        <v>7399</v>
      </c>
      <c r="R656" s="17">
        <v>56.51</v>
      </c>
      <c r="S656" s="18">
        <v>3700.4354999999996</v>
      </c>
      <c r="T656" s="19" t="s">
        <v>36</v>
      </c>
      <c r="U656" s="20" t="s">
        <v>813</v>
      </c>
      <c r="V656" s="28">
        <v>35.5</v>
      </c>
      <c r="W656" s="22">
        <v>2</v>
      </c>
      <c r="X656" s="23"/>
    </row>
    <row r="657" spans="1:24" s="1" customFormat="1" ht="35.1" customHeight="1" x14ac:dyDescent="0.3">
      <c r="A657" s="24" t="s">
        <v>23</v>
      </c>
      <c r="B657" s="24" t="s">
        <v>956</v>
      </c>
      <c r="C657" s="12" t="s">
        <v>957</v>
      </c>
      <c r="D657" s="54"/>
      <c r="E657" s="39" t="str">
        <f>HYPERLINK("https://www.google.ru/search?q=3023705-001&amp;newwindow=1&amp;tbm=isch","Еще фото")</f>
        <v>Еще фото</v>
      </c>
      <c r="F657" s="13"/>
      <c r="G657" s="24" t="s">
        <v>808</v>
      </c>
      <c r="H657" s="24" t="s">
        <v>593</v>
      </c>
      <c r="I657" s="24" t="s">
        <v>809</v>
      </c>
      <c r="J657" s="14" t="s">
        <v>29</v>
      </c>
      <c r="K657" s="15" t="s">
        <v>64</v>
      </c>
      <c r="L657" s="57"/>
      <c r="M657" s="14" t="s">
        <v>959</v>
      </c>
      <c r="N657" s="14" t="s">
        <v>33</v>
      </c>
      <c r="O657" s="14" t="s">
        <v>34</v>
      </c>
      <c r="P657" s="15" t="s">
        <v>960</v>
      </c>
      <c r="Q657" s="16">
        <v>7399</v>
      </c>
      <c r="R657" s="17">
        <v>56.51</v>
      </c>
      <c r="S657" s="18">
        <v>3700.4354999999996</v>
      </c>
      <c r="T657" s="19" t="s">
        <v>36</v>
      </c>
      <c r="U657" s="20" t="s">
        <v>820</v>
      </c>
      <c r="V657" s="22">
        <v>36</v>
      </c>
      <c r="W657" s="22">
        <v>3</v>
      </c>
      <c r="X657" s="23"/>
    </row>
    <row r="658" spans="1:24" s="1" customFormat="1" ht="36.950000000000003" customHeight="1" x14ac:dyDescent="0.3">
      <c r="A658" s="24" t="s">
        <v>23</v>
      </c>
      <c r="B658" s="24" t="s">
        <v>956</v>
      </c>
      <c r="C658" s="12" t="s">
        <v>957</v>
      </c>
      <c r="D658" s="55"/>
      <c r="E658" s="39" t="str">
        <f>HYPERLINK("https://www.google.ru/search?q=3023705-001&amp;newwindow=1&amp;tbm=isch","Еще фото")</f>
        <v>Еще фото</v>
      </c>
      <c r="F658" s="13"/>
      <c r="G658" s="24" t="s">
        <v>808</v>
      </c>
      <c r="H658" s="24" t="s">
        <v>593</v>
      </c>
      <c r="I658" s="24" t="s">
        <v>809</v>
      </c>
      <c r="J658" s="14" t="s">
        <v>29</v>
      </c>
      <c r="K658" s="15" t="s">
        <v>64</v>
      </c>
      <c r="L658" s="58"/>
      <c r="M658" s="14" t="s">
        <v>959</v>
      </c>
      <c r="N658" s="14" t="s">
        <v>33</v>
      </c>
      <c r="O658" s="14" t="s">
        <v>34</v>
      </c>
      <c r="P658" s="15" t="s">
        <v>960</v>
      </c>
      <c r="Q658" s="16">
        <v>7399</v>
      </c>
      <c r="R658" s="17">
        <v>56.51</v>
      </c>
      <c r="S658" s="18">
        <v>3700.4354999999996</v>
      </c>
      <c r="T658" s="19" t="s">
        <v>36</v>
      </c>
      <c r="U658" s="20" t="s">
        <v>598</v>
      </c>
      <c r="V658" s="22">
        <v>37</v>
      </c>
      <c r="W658" s="22">
        <v>2</v>
      </c>
      <c r="X658" s="23"/>
    </row>
    <row r="659" spans="1:24" s="1" customFormat="1" ht="17.100000000000001" customHeight="1" x14ac:dyDescent="0.3">
      <c r="A659" s="11" t="s">
        <v>23</v>
      </c>
      <c r="B659" s="11" t="s">
        <v>961</v>
      </c>
      <c r="C659" s="12" t="s">
        <v>962</v>
      </c>
      <c r="D659" s="53"/>
      <c r="E659" s="39" t="str">
        <f t="shared" ref="E659:E664" si="8">HYPERLINK("https://www.google.ru/search?q=6001585-402&amp;newwindow=1&amp;tbm=isch","Еще фото")</f>
        <v>Еще фото</v>
      </c>
      <c r="F659" s="13" t="s">
        <v>98</v>
      </c>
      <c r="G659" s="11" t="s">
        <v>808</v>
      </c>
      <c r="H659" s="11" t="s">
        <v>593</v>
      </c>
      <c r="I659" s="14" t="s">
        <v>809</v>
      </c>
      <c r="J659" s="14" t="s">
        <v>892</v>
      </c>
      <c r="K659" s="15" t="s">
        <v>578</v>
      </c>
      <c r="L659" s="56" t="s">
        <v>963</v>
      </c>
      <c r="M659" s="14"/>
      <c r="N659" s="14" t="s">
        <v>91</v>
      </c>
      <c r="O659" s="14"/>
      <c r="P659" s="15" t="s">
        <v>597</v>
      </c>
      <c r="Q659" s="16">
        <v>11099</v>
      </c>
      <c r="R659" s="17">
        <v>56.5</v>
      </c>
      <c r="S659" s="18">
        <v>5551.9355000000005</v>
      </c>
      <c r="T659" s="19" t="s">
        <v>36</v>
      </c>
      <c r="U659" s="20" t="s">
        <v>945</v>
      </c>
      <c r="V659" s="22">
        <v>41</v>
      </c>
      <c r="W659" s="22">
        <v>9</v>
      </c>
      <c r="X659" s="23"/>
    </row>
    <row r="660" spans="1:24" s="1" customFormat="1" ht="17.100000000000001" customHeight="1" x14ac:dyDescent="0.3">
      <c r="A660" s="24" t="s">
        <v>23</v>
      </c>
      <c r="B660" s="24" t="s">
        <v>961</v>
      </c>
      <c r="C660" s="12" t="s">
        <v>962</v>
      </c>
      <c r="D660" s="54"/>
      <c r="E660" s="39" t="str">
        <f t="shared" si="8"/>
        <v>Еще фото</v>
      </c>
      <c r="F660" s="13" t="s">
        <v>98</v>
      </c>
      <c r="G660" s="24" t="s">
        <v>808</v>
      </c>
      <c r="H660" s="24" t="s">
        <v>593</v>
      </c>
      <c r="I660" s="24" t="s">
        <v>809</v>
      </c>
      <c r="J660" s="14" t="s">
        <v>892</v>
      </c>
      <c r="K660" s="15" t="s">
        <v>578</v>
      </c>
      <c r="L660" s="57"/>
      <c r="M660" s="14"/>
      <c r="N660" s="14" t="s">
        <v>91</v>
      </c>
      <c r="O660" s="14"/>
      <c r="P660" s="15" t="s">
        <v>597</v>
      </c>
      <c r="Q660" s="16">
        <v>11099</v>
      </c>
      <c r="R660" s="17">
        <v>56.5</v>
      </c>
      <c r="S660" s="18">
        <v>5551.9355000000005</v>
      </c>
      <c r="T660" s="19" t="s">
        <v>36</v>
      </c>
      <c r="U660" s="20" t="s">
        <v>875</v>
      </c>
      <c r="V660" s="28">
        <v>41.5</v>
      </c>
      <c r="W660" s="22">
        <v>11</v>
      </c>
      <c r="X660" s="23"/>
    </row>
    <row r="661" spans="1:24" s="1" customFormat="1" ht="17.100000000000001" customHeight="1" x14ac:dyDescent="0.3">
      <c r="A661" s="24" t="s">
        <v>23</v>
      </c>
      <c r="B661" s="24" t="s">
        <v>961</v>
      </c>
      <c r="C661" s="12" t="s">
        <v>962</v>
      </c>
      <c r="D661" s="54"/>
      <c r="E661" s="39" t="str">
        <f t="shared" si="8"/>
        <v>Еще фото</v>
      </c>
      <c r="F661" s="13" t="s">
        <v>98</v>
      </c>
      <c r="G661" s="24" t="s">
        <v>808</v>
      </c>
      <c r="H661" s="24" t="s">
        <v>593</v>
      </c>
      <c r="I661" s="24" t="s">
        <v>809</v>
      </c>
      <c r="J661" s="14" t="s">
        <v>892</v>
      </c>
      <c r="K661" s="15" t="s">
        <v>578</v>
      </c>
      <c r="L661" s="57"/>
      <c r="M661" s="14"/>
      <c r="N661" s="14" t="s">
        <v>91</v>
      </c>
      <c r="O661" s="14"/>
      <c r="P661" s="15" t="s">
        <v>597</v>
      </c>
      <c r="Q661" s="16">
        <v>11099</v>
      </c>
      <c r="R661" s="17">
        <v>56.5</v>
      </c>
      <c r="S661" s="18">
        <v>5551.9355000000005</v>
      </c>
      <c r="T661" s="19" t="s">
        <v>36</v>
      </c>
      <c r="U661" s="20" t="s">
        <v>876</v>
      </c>
      <c r="V661" s="22">
        <v>42</v>
      </c>
      <c r="W661" s="22">
        <v>15</v>
      </c>
      <c r="X661" s="23"/>
    </row>
    <row r="662" spans="1:24" s="1" customFormat="1" ht="17.100000000000001" customHeight="1" x14ac:dyDescent="0.3">
      <c r="A662" s="24" t="s">
        <v>23</v>
      </c>
      <c r="B662" s="24" t="s">
        <v>961</v>
      </c>
      <c r="C662" s="12" t="s">
        <v>962</v>
      </c>
      <c r="D662" s="54"/>
      <c r="E662" s="39" t="str">
        <f t="shared" si="8"/>
        <v>Еще фото</v>
      </c>
      <c r="F662" s="13" t="s">
        <v>98</v>
      </c>
      <c r="G662" s="24" t="s">
        <v>808</v>
      </c>
      <c r="H662" s="24" t="s">
        <v>593</v>
      </c>
      <c r="I662" s="24" t="s">
        <v>809</v>
      </c>
      <c r="J662" s="14" t="s">
        <v>892</v>
      </c>
      <c r="K662" s="15" t="s">
        <v>578</v>
      </c>
      <c r="L662" s="57"/>
      <c r="M662" s="14"/>
      <c r="N662" s="14" t="s">
        <v>91</v>
      </c>
      <c r="O662" s="14"/>
      <c r="P662" s="15" t="s">
        <v>597</v>
      </c>
      <c r="Q662" s="16">
        <v>11099</v>
      </c>
      <c r="R662" s="17">
        <v>56.5</v>
      </c>
      <c r="S662" s="18">
        <v>5551.9355000000005</v>
      </c>
      <c r="T662" s="19" t="s">
        <v>36</v>
      </c>
      <c r="U662" s="20" t="s">
        <v>877</v>
      </c>
      <c r="V662" s="22">
        <v>43</v>
      </c>
      <c r="W662" s="22">
        <v>12</v>
      </c>
      <c r="X662" s="23"/>
    </row>
    <row r="663" spans="1:24" s="1" customFormat="1" ht="17.100000000000001" customHeight="1" x14ac:dyDescent="0.3">
      <c r="A663" s="24" t="s">
        <v>23</v>
      </c>
      <c r="B663" s="24" t="s">
        <v>961</v>
      </c>
      <c r="C663" s="12" t="s">
        <v>962</v>
      </c>
      <c r="D663" s="54"/>
      <c r="E663" s="39" t="str">
        <f t="shared" si="8"/>
        <v>Еще фото</v>
      </c>
      <c r="F663" s="13" t="s">
        <v>98</v>
      </c>
      <c r="G663" s="24" t="s">
        <v>808</v>
      </c>
      <c r="H663" s="24" t="s">
        <v>593</v>
      </c>
      <c r="I663" s="24" t="s">
        <v>809</v>
      </c>
      <c r="J663" s="14" t="s">
        <v>892</v>
      </c>
      <c r="K663" s="15" t="s">
        <v>578</v>
      </c>
      <c r="L663" s="57"/>
      <c r="M663" s="14"/>
      <c r="N663" s="14" t="s">
        <v>91</v>
      </c>
      <c r="O663" s="14"/>
      <c r="P663" s="15" t="s">
        <v>597</v>
      </c>
      <c r="Q663" s="16">
        <v>11099</v>
      </c>
      <c r="R663" s="17">
        <v>56.5</v>
      </c>
      <c r="S663" s="18">
        <v>5551.9355000000005</v>
      </c>
      <c r="T663" s="19" t="s">
        <v>36</v>
      </c>
      <c r="U663" s="20" t="s">
        <v>878</v>
      </c>
      <c r="V663" s="28">
        <v>43.5</v>
      </c>
      <c r="W663" s="22">
        <v>13</v>
      </c>
      <c r="X663" s="23"/>
    </row>
    <row r="664" spans="1:24" s="1" customFormat="1" ht="21.95" customHeight="1" x14ac:dyDescent="0.3">
      <c r="A664" s="24" t="s">
        <v>23</v>
      </c>
      <c r="B664" s="24" t="s">
        <v>961</v>
      </c>
      <c r="C664" s="12" t="s">
        <v>962</v>
      </c>
      <c r="D664" s="55"/>
      <c r="E664" s="39" t="str">
        <f t="shared" si="8"/>
        <v>Еще фото</v>
      </c>
      <c r="F664" s="13" t="s">
        <v>98</v>
      </c>
      <c r="G664" s="24" t="s">
        <v>808</v>
      </c>
      <c r="H664" s="24" t="s">
        <v>593</v>
      </c>
      <c r="I664" s="24" t="s">
        <v>809</v>
      </c>
      <c r="J664" s="14" t="s">
        <v>892</v>
      </c>
      <c r="K664" s="15" t="s">
        <v>578</v>
      </c>
      <c r="L664" s="58"/>
      <c r="M664" s="14"/>
      <c r="N664" s="14" t="s">
        <v>91</v>
      </c>
      <c r="O664" s="14"/>
      <c r="P664" s="15" t="s">
        <v>597</v>
      </c>
      <c r="Q664" s="16">
        <v>11099</v>
      </c>
      <c r="R664" s="17">
        <v>56.5</v>
      </c>
      <c r="S664" s="18">
        <v>5551.9355000000005</v>
      </c>
      <c r="T664" s="19" t="s">
        <v>36</v>
      </c>
      <c r="U664" s="20" t="s">
        <v>879</v>
      </c>
      <c r="V664" s="22">
        <v>44</v>
      </c>
      <c r="W664" s="22">
        <v>7</v>
      </c>
      <c r="X664" s="23"/>
    </row>
    <row r="665" spans="1:24" s="1" customFormat="1" ht="26.1" customHeight="1" x14ac:dyDescent="0.3">
      <c r="A665" s="11" t="s">
        <v>23</v>
      </c>
      <c r="B665" s="11" t="s">
        <v>867</v>
      </c>
      <c r="C665" s="12" t="s">
        <v>964</v>
      </c>
      <c r="D665" s="53"/>
      <c r="E665" s="39" t="str">
        <f>HYPERLINK("https://www.google.ru/search?q=3027524-101&amp;newwindow=1&amp;tbm=isch","Еще фото")</f>
        <v>Еще фото</v>
      </c>
      <c r="F665" s="13"/>
      <c r="G665" s="11" t="s">
        <v>808</v>
      </c>
      <c r="H665" s="11" t="s">
        <v>593</v>
      </c>
      <c r="I665" s="14" t="s">
        <v>809</v>
      </c>
      <c r="J665" s="14" t="s">
        <v>29</v>
      </c>
      <c r="K665" s="15" t="s">
        <v>64</v>
      </c>
      <c r="L665" s="56" t="s">
        <v>965</v>
      </c>
      <c r="M665" s="14" t="s">
        <v>824</v>
      </c>
      <c r="N665" s="14" t="s">
        <v>74</v>
      </c>
      <c r="O665" s="14"/>
      <c r="P665" s="15" t="s">
        <v>870</v>
      </c>
      <c r="Q665" s="16">
        <v>12999</v>
      </c>
      <c r="R665" s="17">
        <v>56.48</v>
      </c>
      <c r="S665" s="18">
        <v>6506.4354999999996</v>
      </c>
      <c r="T665" s="19" t="s">
        <v>36</v>
      </c>
      <c r="U665" s="20" t="s">
        <v>814</v>
      </c>
      <c r="V665" s="28">
        <v>36.5</v>
      </c>
      <c r="W665" s="22">
        <v>2</v>
      </c>
      <c r="X665" s="23"/>
    </row>
    <row r="666" spans="1:24" s="1" customFormat="1" ht="26.1" customHeight="1" x14ac:dyDescent="0.3">
      <c r="A666" s="24" t="s">
        <v>23</v>
      </c>
      <c r="B666" s="24" t="s">
        <v>867</v>
      </c>
      <c r="C666" s="12" t="s">
        <v>964</v>
      </c>
      <c r="D666" s="54"/>
      <c r="E666" s="39" t="str">
        <f>HYPERLINK("https://www.google.ru/search?q=3027524-101&amp;newwindow=1&amp;tbm=isch","Еще фото")</f>
        <v>Еще фото</v>
      </c>
      <c r="F666" s="13"/>
      <c r="G666" s="24" t="s">
        <v>808</v>
      </c>
      <c r="H666" s="24" t="s">
        <v>593</v>
      </c>
      <c r="I666" s="24" t="s">
        <v>809</v>
      </c>
      <c r="J666" s="14" t="s">
        <v>29</v>
      </c>
      <c r="K666" s="15" t="s">
        <v>64</v>
      </c>
      <c r="L666" s="57"/>
      <c r="M666" s="14" t="s">
        <v>824</v>
      </c>
      <c r="N666" s="14" t="s">
        <v>74</v>
      </c>
      <c r="O666" s="14"/>
      <c r="P666" s="15" t="s">
        <v>870</v>
      </c>
      <c r="Q666" s="16">
        <v>12999</v>
      </c>
      <c r="R666" s="17">
        <v>56.48</v>
      </c>
      <c r="S666" s="18">
        <v>6506.4354999999996</v>
      </c>
      <c r="T666" s="19" t="s">
        <v>36</v>
      </c>
      <c r="U666" s="20" t="s">
        <v>598</v>
      </c>
      <c r="V666" s="22">
        <v>37</v>
      </c>
      <c r="W666" s="22">
        <v>4</v>
      </c>
      <c r="X666" s="23"/>
    </row>
    <row r="667" spans="1:24" s="1" customFormat="1" ht="26.1" customHeight="1" x14ac:dyDescent="0.3">
      <c r="A667" s="24" t="s">
        <v>23</v>
      </c>
      <c r="B667" s="24" t="s">
        <v>867</v>
      </c>
      <c r="C667" s="12" t="s">
        <v>964</v>
      </c>
      <c r="D667" s="54"/>
      <c r="E667" s="39" t="str">
        <f>HYPERLINK("https://www.google.ru/search?q=3027524-101&amp;newwindow=1&amp;tbm=isch","Еще фото")</f>
        <v>Еще фото</v>
      </c>
      <c r="F667" s="13"/>
      <c r="G667" s="24" t="s">
        <v>808</v>
      </c>
      <c r="H667" s="24" t="s">
        <v>593</v>
      </c>
      <c r="I667" s="24" t="s">
        <v>809</v>
      </c>
      <c r="J667" s="14" t="s">
        <v>29</v>
      </c>
      <c r="K667" s="15" t="s">
        <v>64</v>
      </c>
      <c r="L667" s="57"/>
      <c r="M667" s="14" t="s">
        <v>824</v>
      </c>
      <c r="N667" s="14" t="s">
        <v>74</v>
      </c>
      <c r="O667" s="14"/>
      <c r="P667" s="15" t="s">
        <v>870</v>
      </c>
      <c r="Q667" s="16">
        <v>12999</v>
      </c>
      <c r="R667" s="17">
        <v>56.48</v>
      </c>
      <c r="S667" s="18">
        <v>6506.4354999999996</v>
      </c>
      <c r="T667" s="19" t="s">
        <v>36</v>
      </c>
      <c r="U667" s="20" t="s">
        <v>599</v>
      </c>
      <c r="V667" s="28">
        <v>37.5</v>
      </c>
      <c r="W667" s="22">
        <v>1</v>
      </c>
      <c r="X667" s="23"/>
    </row>
    <row r="668" spans="1:24" s="1" customFormat="1" ht="26.1" customHeight="1" x14ac:dyDescent="0.3">
      <c r="A668" s="24" t="s">
        <v>23</v>
      </c>
      <c r="B668" s="24" t="s">
        <v>867</v>
      </c>
      <c r="C668" s="12" t="s">
        <v>964</v>
      </c>
      <c r="D668" s="55"/>
      <c r="E668" s="39" t="str">
        <f>HYPERLINK("https://www.google.ru/search?q=3027524-101&amp;newwindow=1&amp;tbm=isch","Еще фото")</f>
        <v>Еще фото</v>
      </c>
      <c r="F668" s="13"/>
      <c r="G668" s="24" t="s">
        <v>808</v>
      </c>
      <c r="H668" s="24" t="s">
        <v>593</v>
      </c>
      <c r="I668" s="24" t="s">
        <v>809</v>
      </c>
      <c r="J668" s="14" t="s">
        <v>29</v>
      </c>
      <c r="K668" s="15" t="s">
        <v>64</v>
      </c>
      <c r="L668" s="58"/>
      <c r="M668" s="14" t="s">
        <v>824</v>
      </c>
      <c r="N668" s="14" t="s">
        <v>74</v>
      </c>
      <c r="O668" s="14"/>
      <c r="P668" s="15" t="s">
        <v>870</v>
      </c>
      <c r="Q668" s="16">
        <v>12999</v>
      </c>
      <c r="R668" s="17">
        <v>56.48</v>
      </c>
      <c r="S668" s="18">
        <v>6506.4354999999996</v>
      </c>
      <c r="T668" s="19" t="s">
        <v>36</v>
      </c>
      <c r="U668" s="20" t="s">
        <v>600</v>
      </c>
      <c r="V668" s="22">
        <v>38</v>
      </c>
      <c r="W668" s="22">
        <v>1</v>
      </c>
      <c r="X668" s="23"/>
    </row>
    <row r="669" spans="1:24" s="1" customFormat="1" ht="17.100000000000001" customHeight="1" x14ac:dyDescent="0.3">
      <c r="A669" s="11" t="s">
        <v>23</v>
      </c>
      <c r="B669" s="11" t="s">
        <v>912</v>
      </c>
      <c r="C669" s="12" t="s">
        <v>966</v>
      </c>
      <c r="D669" s="53"/>
      <c r="E669" s="39" t="str">
        <f t="shared" ref="E669:E674" si="9">HYPERLINK("https://www.google.ru/search?q=3024131-002&amp;newwindow=1&amp;tbm=isch","Еще фото")</f>
        <v>Еще фото</v>
      </c>
      <c r="F669" s="13"/>
      <c r="G669" s="11" t="s">
        <v>808</v>
      </c>
      <c r="H669" s="11" t="s">
        <v>593</v>
      </c>
      <c r="I669" s="14" t="s">
        <v>809</v>
      </c>
      <c r="J669" s="14" t="s">
        <v>29</v>
      </c>
      <c r="K669" s="15" t="s">
        <v>64</v>
      </c>
      <c r="L669" s="56" t="s">
        <v>914</v>
      </c>
      <c r="M669" s="14" t="s">
        <v>49</v>
      </c>
      <c r="N669" s="14" t="s">
        <v>33</v>
      </c>
      <c r="O669" s="14" t="s">
        <v>34</v>
      </c>
      <c r="P669" s="15" t="s">
        <v>915</v>
      </c>
      <c r="Q669" s="16">
        <v>7499</v>
      </c>
      <c r="R669" s="17">
        <v>56.42</v>
      </c>
      <c r="S669" s="18">
        <v>3757.9354999999996</v>
      </c>
      <c r="T669" s="19" t="s">
        <v>36</v>
      </c>
      <c r="U669" s="20" t="s">
        <v>813</v>
      </c>
      <c r="V669" s="28">
        <v>35.5</v>
      </c>
      <c r="W669" s="22">
        <v>4</v>
      </c>
      <c r="X669" s="23"/>
    </row>
    <row r="670" spans="1:24" s="1" customFormat="1" ht="17.100000000000001" customHeight="1" x14ac:dyDescent="0.3">
      <c r="A670" s="24" t="s">
        <v>23</v>
      </c>
      <c r="B670" s="24" t="s">
        <v>912</v>
      </c>
      <c r="C670" s="12" t="s">
        <v>966</v>
      </c>
      <c r="D670" s="54"/>
      <c r="E670" s="39" t="str">
        <f t="shared" si="9"/>
        <v>Еще фото</v>
      </c>
      <c r="F670" s="13"/>
      <c r="G670" s="24" t="s">
        <v>808</v>
      </c>
      <c r="H670" s="24" t="s">
        <v>593</v>
      </c>
      <c r="I670" s="24" t="s">
        <v>809</v>
      </c>
      <c r="J670" s="14" t="s">
        <v>29</v>
      </c>
      <c r="K670" s="15" t="s">
        <v>64</v>
      </c>
      <c r="L670" s="57"/>
      <c r="M670" s="14" t="s">
        <v>49</v>
      </c>
      <c r="N670" s="14" t="s">
        <v>33</v>
      </c>
      <c r="O670" s="14" t="s">
        <v>34</v>
      </c>
      <c r="P670" s="15" t="s">
        <v>915</v>
      </c>
      <c r="Q670" s="16">
        <v>7499</v>
      </c>
      <c r="R670" s="17">
        <v>56.42</v>
      </c>
      <c r="S670" s="18">
        <v>3757.9354999999996</v>
      </c>
      <c r="T670" s="19" t="s">
        <v>36</v>
      </c>
      <c r="U670" s="20" t="s">
        <v>820</v>
      </c>
      <c r="V670" s="22">
        <v>36</v>
      </c>
      <c r="W670" s="22">
        <v>5</v>
      </c>
      <c r="X670" s="23"/>
    </row>
    <row r="671" spans="1:24" s="1" customFormat="1" ht="17.100000000000001" customHeight="1" x14ac:dyDescent="0.3">
      <c r="A671" s="24" t="s">
        <v>23</v>
      </c>
      <c r="B671" s="24" t="s">
        <v>912</v>
      </c>
      <c r="C671" s="12" t="s">
        <v>966</v>
      </c>
      <c r="D671" s="54"/>
      <c r="E671" s="39" t="str">
        <f t="shared" si="9"/>
        <v>Еще фото</v>
      </c>
      <c r="F671" s="13"/>
      <c r="G671" s="24" t="s">
        <v>808</v>
      </c>
      <c r="H671" s="24" t="s">
        <v>593</v>
      </c>
      <c r="I671" s="24" t="s">
        <v>809</v>
      </c>
      <c r="J671" s="14" t="s">
        <v>29</v>
      </c>
      <c r="K671" s="15" t="s">
        <v>64</v>
      </c>
      <c r="L671" s="57"/>
      <c r="M671" s="14" t="s">
        <v>49</v>
      </c>
      <c r="N671" s="14" t="s">
        <v>33</v>
      </c>
      <c r="O671" s="14" t="s">
        <v>34</v>
      </c>
      <c r="P671" s="15" t="s">
        <v>915</v>
      </c>
      <c r="Q671" s="16">
        <v>7499</v>
      </c>
      <c r="R671" s="17">
        <v>56.42</v>
      </c>
      <c r="S671" s="18">
        <v>3757.9354999999996</v>
      </c>
      <c r="T671" s="19" t="s">
        <v>36</v>
      </c>
      <c r="U671" s="20" t="s">
        <v>814</v>
      </c>
      <c r="V671" s="28">
        <v>36.5</v>
      </c>
      <c r="W671" s="22">
        <v>6</v>
      </c>
      <c r="X671" s="23"/>
    </row>
    <row r="672" spans="1:24" s="1" customFormat="1" ht="17.100000000000001" customHeight="1" x14ac:dyDescent="0.3">
      <c r="A672" s="24" t="s">
        <v>23</v>
      </c>
      <c r="B672" s="24" t="s">
        <v>912</v>
      </c>
      <c r="C672" s="12" t="s">
        <v>966</v>
      </c>
      <c r="D672" s="54"/>
      <c r="E672" s="39" t="str">
        <f t="shared" si="9"/>
        <v>Еще фото</v>
      </c>
      <c r="F672" s="13"/>
      <c r="G672" s="24" t="s">
        <v>808</v>
      </c>
      <c r="H672" s="24" t="s">
        <v>593</v>
      </c>
      <c r="I672" s="24" t="s">
        <v>809</v>
      </c>
      <c r="J672" s="14" t="s">
        <v>29</v>
      </c>
      <c r="K672" s="15" t="s">
        <v>64</v>
      </c>
      <c r="L672" s="57"/>
      <c r="M672" s="14" t="s">
        <v>49</v>
      </c>
      <c r="N672" s="14" t="s">
        <v>33</v>
      </c>
      <c r="O672" s="14" t="s">
        <v>34</v>
      </c>
      <c r="P672" s="15" t="s">
        <v>915</v>
      </c>
      <c r="Q672" s="16">
        <v>7499</v>
      </c>
      <c r="R672" s="17">
        <v>56.42</v>
      </c>
      <c r="S672" s="18">
        <v>3757.9354999999996</v>
      </c>
      <c r="T672" s="19" t="s">
        <v>36</v>
      </c>
      <c r="U672" s="20" t="s">
        <v>598</v>
      </c>
      <c r="V672" s="22">
        <v>37</v>
      </c>
      <c r="W672" s="22">
        <v>5</v>
      </c>
      <c r="X672" s="23"/>
    </row>
    <row r="673" spans="1:24" s="1" customFormat="1" ht="17.100000000000001" customHeight="1" x14ac:dyDescent="0.3">
      <c r="A673" s="24" t="s">
        <v>23</v>
      </c>
      <c r="B673" s="24" t="s">
        <v>912</v>
      </c>
      <c r="C673" s="12" t="s">
        <v>966</v>
      </c>
      <c r="D673" s="54"/>
      <c r="E673" s="39" t="str">
        <f t="shared" si="9"/>
        <v>Еще фото</v>
      </c>
      <c r="F673" s="13"/>
      <c r="G673" s="24" t="s">
        <v>808</v>
      </c>
      <c r="H673" s="24" t="s">
        <v>593</v>
      </c>
      <c r="I673" s="24" t="s">
        <v>809</v>
      </c>
      <c r="J673" s="14" t="s">
        <v>29</v>
      </c>
      <c r="K673" s="15" t="s">
        <v>64</v>
      </c>
      <c r="L673" s="57"/>
      <c r="M673" s="14" t="s">
        <v>49</v>
      </c>
      <c r="N673" s="14" t="s">
        <v>33</v>
      </c>
      <c r="O673" s="14" t="s">
        <v>34</v>
      </c>
      <c r="P673" s="15" t="s">
        <v>915</v>
      </c>
      <c r="Q673" s="16">
        <v>7499</v>
      </c>
      <c r="R673" s="17">
        <v>56.42</v>
      </c>
      <c r="S673" s="18">
        <v>3757.9354999999996</v>
      </c>
      <c r="T673" s="19" t="s">
        <v>36</v>
      </c>
      <c r="U673" s="20" t="s">
        <v>599</v>
      </c>
      <c r="V673" s="28">
        <v>37.5</v>
      </c>
      <c r="W673" s="22">
        <v>5</v>
      </c>
      <c r="X673" s="23"/>
    </row>
    <row r="674" spans="1:24" s="1" customFormat="1" ht="21.95" customHeight="1" x14ac:dyDescent="0.3">
      <c r="A674" s="24" t="s">
        <v>23</v>
      </c>
      <c r="B674" s="24" t="s">
        <v>912</v>
      </c>
      <c r="C674" s="12" t="s">
        <v>966</v>
      </c>
      <c r="D674" s="55"/>
      <c r="E674" s="39" t="str">
        <f t="shared" si="9"/>
        <v>Еще фото</v>
      </c>
      <c r="F674" s="13"/>
      <c r="G674" s="24" t="s">
        <v>808</v>
      </c>
      <c r="H674" s="24" t="s">
        <v>593</v>
      </c>
      <c r="I674" s="24" t="s">
        <v>809</v>
      </c>
      <c r="J674" s="14" t="s">
        <v>29</v>
      </c>
      <c r="K674" s="15" t="s">
        <v>64</v>
      </c>
      <c r="L674" s="58"/>
      <c r="M674" s="14" t="s">
        <v>49</v>
      </c>
      <c r="N674" s="14" t="s">
        <v>33</v>
      </c>
      <c r="O674" s="14" t="s">
        <v>34</v>
      </c>
      <c r="P674" s="15" t="s">
        <v>915</v>
      </c>
      <c r="Q674" s="16">
        <v>7499</v>
      </c>
      <c r="R674" s="17">
        <v>56.42</v>
      </c>
      <c r="S674" s="18">
        <v>3757.9354999999996</v>
      </c>
      <c r="T674" s="19" t="s">
        <v>36</v>
      </c>
      <c r="U674" s="20" t="s">
        <v>603</v>
      </c>
      <c r="V674" s="22">
        <v>40</v>
      </c>
      <c r="W674" s="22">
        <v>1</v>
      </c>
      <c r="X674" s="23"/>
    </row>
    <row r="675" spans="1:24" s="1" customFormat="1" ht="26.1" customHeight="1" x14ac:dyDescent="0.3">
      <c r="A675" s="11" t="s">
        <v>23</v>
      </c>
      <c r="B675" s="11" t="s">
        <v>967</v>
      </c>
      <c r="C675" s="12" t="s">
        <v>968</v>
      </c>
      <c r="D675" s="53"/>
      <c r="E675" s="39" t="str">
        <f>HYPERLINK("https://www.google.ru/search?q=3027108-100&amp;newwindow=1&amp;tbm=isch","Еще фото")</f>
        <v>Еще фото</v>
      </c>
      <c r="F675" s="13"/>
      <c r="G675" s="11" t="s">
        <v>808</v>
      </c>
      <c r="H675" s="11" t="s">
        <v>593</v>
      </c>
      <c r="I675" s="14" t="s">
        <v>809</v>
      </c>
      <c r="J675" s="14" t="s">
        <v>29</v>
      </c>
      <c r="K675" s="15" t="s">
        <v>54</v>
      </c>
      <c r="L675" s="56" t="s">
        <v>969</v>
      </c>
      <c r="M675" s="14"/>
      <c r="N675" s="14" t="s">
        <v>84</v>
      </c>
      <c r="O675" s="14"/>
      <c r="P675" s="15" t="s">
        <v>970</v>
      </c>
      <c r="Q675" s="16">
        <v>7199</v>
      </c>
      <c r="R675" s="17">
        <v>56.41</v>
      </c>
      <c r="S675" s="18">
        <v>3608.4354999999996</v>
      </c>
      <c r="T675" s="19" t="s">
        <v>36</v>
      </c>
      <c r="U675" s="20" t="s">
        <v>863</v>
      </c>
      <c r="V675" s="28">
        <v>36.5</v>
      </c>
      <c r="W675" s="22">
        <v>4</v>
      </c>
      <c r="X675" s="23"/>
    </row>
    <row r="676" spans="1:24" s="1" customFormat="1" ht="26.1" customHeight="1" x14ac:dyDescent="0.3">
      <c r="A676" s="24" t="s">
        <v>23</v>
      </c>
      <c r="B676" s="24" t="s">
        <v>967</v>
      </c>
      <c r="C676" s="12" t="s">
        <v>968</v>
      </c>
      <c r="D676" s="54"/>
      <c r="E676" s="39" t="str">
        <f>HYPERLINK("https://www.google.ru/search?q=3027108-100&amp;newwindow=1&amp;tbm=isch","Еще фото")</f>
        <v>Еще фото</v>
      </c>
      <c r="F676" s="13"/>
      <c r="G676" s="24" t="s">
        <v>808</v>
      </c>
      <c r="H676" s="24" t="s">
        <v>593</v>
      </c>
      <c r="I676" s="24" t="s">
        <v>809</v>
      </c>
      <c r="J676" s="14" t="s">
        <v>29</v>
      </c>
      <c r="K676" s="15" t="s">
        <v>54</v>
      </c>
      <c r="L676" s="57"/>
      <c r="M676" s="14"/>
      <c r="N676" s="14" t="s">
        <v>84</v>
      </c>
      <c r="O676" s="14"/>
      <c r="P676" s="15" t="s">
        <v>970</v>
      </c>
      <c r="Q676" s="16">
        <v>7199</v>
      </c>
      <c r="R676" s="17">
        <v>56.41</v>
      </c>
      <c r="S676" s="18">
        <v>3608.4354999999996</v>
      </c>
      <c r="T676" s="19" t="s">
        <v>36</v>
      </c>
      <c r="U676" s="20" t="s">
        <v>813</v>
      </c>
      <c r="V676" s="22">
        <v>37</v>
      </c>
      <c r="W676" s="22">
        <v>5</v>
      </c>
      <c r="X676" s="23"/>
    </row>
    <row r="677" spans="1:24" s="1" customFormat="1" ht="26.1" customHeight="1" x14ac:dyDescent="0.3">
      <c r="A677" s="24" t="s">
        <v>23</v>
      </c>
      <c r="B677" s="24" t="s">
        <v>967</v>
      </c>
      <c r="C677" s="12" t="s">
        <v>968</v>
      </c>
      <c r="D677" s="54"/>
      <c r="E677" s="39" t="str">
        <f>HYPERLINK("https://www.google.ru/search?q=3027108-100&amp;newwindow=1&amp;tbm=isch","Еще фото")</f>
        <v>Еще фото</v>
      </c>
      <c r="F677" s="13"/>
      <c r="G677" s="24" t="s">
        <v>808</v>
      </c>
      <c r="H677" s="24" t="s">
        <v>593</v>
      </c>
      <c r="I677" s="24" t="s">
        <v>809</v>
      </c>
      <c r="J677" s="14" t="s">
        <v>29</v>
      </c>
      <c r="K677" s="15" t="s">
        <v>54</v>
      </c>
      <c r="L677" s="57"/>
      <c r="M677" s="14"/>
      <c r="N677" s="14" t="s">
        <v>84</v>
      </c>
      <c r="O677" s="14"/>
      <c r="P677" s="15" t="s">
        <v>970</v>
      </c>
      <c r="Q677" s="16">
        <v>7199</v>
      </c>
      <c r="R677" s="17">
        <v>56.41</v>
      </c>
      <c r="S677" s="18">
        <v>3608.4354999999996</v>
      </c>
      <c r="T677" s="19" t="s">
        <v>36</v>
      </c>
      <c r="U677" s="20" t="s">
        <v>820</v>
      </c>
      <c r="V677" s="28">
        <v>37.5</v>
      </c>
      <c r="W677" s="22">
        <v>8</v>
      </c>
      <c r="X677" s="23"/>
    </row>
    <row r="678" spans="1:24" s="1" customFormat="1" ht="26.1" customHeight="1" x14ac:dyDescent="0.3">
      <c r="A678" s="24" t="s">
        <v>23</v>
      </c>
      <c r="B678" s="24" t="s">
        <v>967</v>
      </c>
      <c r="C678" s="12" t="s">
        <v>968</v>
      </c>
      <c r="D678" s="55"/>
      <c r="E678" s="39" t="str">
        <f>HYPERLINK("https://www.google.ru/search?q=3027108-100&amp;newwindow=1&amp;tbm=isch","Еще фото")</f>
        <v>Еще фото</v>
      </c>
      <c r="F678" s="13"/>
      <c r="G678" s="24" t="s">
        <v>808</v>
      </c>
      <c r="H678" s="24" t="s">
        <v>593</v>
      </c>
      <c r="I678" s="24" t="s">
        <v>809</v>
      </c>
      <c r="J678" s="14" t="s">
        <v>29</v>
      </c>
      <c r="K678" s="15" t="s">
        <v>54</v>
      </c>
      <c r="L678" s="58"/>
      <c r="M678" s="14"/>
      <c r="N678" s="14" t="s">
        <v>84</v>
      </c>
      <c r="O678" s="14"/>
      <c r="P678" s="15" t="s">
        <v>970</v>
      </c>
      <c r="Q678" s="16">
        <v>7199</v>
      </c>
      <c r="R678" s="17">
        <v>56.41</v>
      </c>
      <c r="S678" s="18">
        <v>3608.4354999999996</v>
      </c>
      <c r="T678" s="19" t="s">
        <v>36</v>
      </c>
      <c r="U678" s="20" t="s">
        <v>598</v>
      </c>
      <c r="V678" s="22">
        <v>39</v>
      </c>
      <c r="W678" s="22">
        <v>4</v>
      </c>
      <c r="X678" s="23"/>
    </row>
    <row r="679" spans="1:24" s="1" customFormat="1" ht="21" customHeight="1" x14ac:dyDescent="0.3">
      <c r="A679" s="11" t="s">
        <v>23</v>
      </c>
      <c r="B679" s="11" t="s">
        <v>971</v>
      </c>
      <c r="C679" s="26" t="s">
        <v>972</v>
      </c>
      <c r="D679" s="53"/>
      <c r="E679" s="39" t="str">
        <f>HYPERLINK("https://www.google.ru/search?q=3028512-453&amp;newwindow=1&amp;tbm=isch","Еще фото")</f>
        <v>Еще фото</v>
      </c>
      <c r="F679" s="13" t="s">
        <v>98</v>
      </c>
      <c r="G679" s="11" t="s">
        <v>808</v>
      </c>
      <c r="H679" s="11" t="s">
        <v>593</v>
      </c>
      <c r="I679" s="14" t="s">
        <v>809</v>
      </c>
      <c r="J679" s="14" t="s">
        <v>892</v>
      </c>
      <c r="K679" s="15" t="s">
        <v>578</v>
      </c>
      <c r="L679" s="56" t="s">
        <v>973</v>
      </c>
      <c r="M679" s="14"/>
      <c r="N679" s="14" t="s">
        <v>91</v>
      </c>
      <c r="O679" s="14"/>
      <c r="P679" s="15" t="s">
        <v>974</v>
      </c>
      <c r="Q679" s="16">
        <v>9699</v>
      </c>
      <c r="R679" s="17">
        <v>56.41</v>
      </c>
      <c r="S679" s="18">
        <v>4861.9355000000005</v>
      </c>
      <c r="T679" s="19" t="s">
        <v>36</v>
      </c>
      <c r="U679" s="20" t="s">
        <v>875</v>
      </c>
      <c r="V679" s="28">
        <v>41.5</v>
      </c>
      <c r="W679" s="22">
        <v>7</v>
      </c>
      <c r="X679" s="23"/>
    </row>
    <row r="680" spans="1:24" s="1" customFormat="1" ht="21" customHeight="1" x14ac:dyDescent="0.3">
      <c r="A680" s="24" t="s">
        <v>23</v>
      </c>
      <c r="B680" s="24" t="s">
        <v>971</v>
      </c>
      <c r="C680" s="27" t="s">
        <v>972</v>
      </c>
      <c r="D680" s="54"/>
      <c r="E680" s="39" t="str">
        <f>HYPERLINK("https://www.google.ru/search?q=3028512-453&amp;newwindow=1&amp;tbm=isch","Еще фото")</f>
        <v>Еще фото</v>
      </c>
      <c r="F680" s="13" t="s">
        <v>98</v>
      </c>
      <c r="G680" s="24" t="s">
        <v>808</v>
      </c>
      <c r="H680" s="24" t="s">
        <v>593</v>
      </c>
      <c r="I680" s="24" t="s">
        <v>809</v>
      </c>
      <c r="J680" s="14" t="s">
        <v>892</v>
      </c>
      <c r="K680" s="15" t="s">
        <v>578</v>
      </c>
      <c r="L680" s="57"/>
      <c r="M680" s="14"/>
      <c r="N680" s="14" t="s">
        <v>91</v>
      </c>
      <c r="O680" s="14"/>
      <c r="P680" s="15" t="s">
        <v>974</v>
      </c>
      <c r="Q680" s="16">
        <v>9699</v>
      </c>
      <c r="R680" s="17">
        <v>56.41</v>
      </c>
      <c r="S680" s="18">
        <v>4861.9355000000005</v>
      </c>
      <c r="T680" s="19" t="s">
        <v>36</v>
      </c>
      <c r="U680" s="20" t="s">
        <v>876</v>
      </c>
      <c r="V680" s="22">
        <v>42</v>
      </c>
      <c r="W680" s="22">
        <v>9</v>
      </c>
      <c r="X680" s="23"/>
    </row>
    <row r="681" spans="1:24" s="1" customFormat="1" ht="21" customHeight="1" x14ac:dyDescent="0.3">
      <c r="A681" s="24" t="s">
        <v>23</v>
      </c>
      <c r="B681" s="24" t="s">
        <v>971</v>
      </c>
      <c r="C681" s="27" t="s">
        <v>972</v>
      </c>
      <c r="D681" s="54"/>
      <c r="E681" s="39" t="str">
        <f>HYPERLINK("https://www.google.ru/search?q=3028512-453&amp;newwindow=1&amp;tbm=isch","Еще фото")</f>
        <v>Еще фото</v>
      </c>
      <c r="F681" s="13" t="s">
        <v>98</v>
      </c>
      <c r="G681" s="24" t="s">
        <v>808</v>
      </c>
      <c r="H681" s="24" t="s">
        <v>593</v>
      </c>
      <c r="I681" s="24" t="s">
        <v>809</v>
      </c>
      <c r="J681" s="14" t="s">
        <v>892</v>
      </c>
      <c r="K681" s="15" t="s">
        <v>578</v>
      </c>
      <c r="L681" s="57"/>
      <c r="M681" s="14"/>
      <c r="N681" s="14" t="s">
        <v>91</v>
      </c>
      <c r="O681" s="14"/>
      <c r="P681" s="15" t="s">
        <v>974</v>
      </c>
      <c r="Q681" s="16">
        <v>9699</v>
      </c>
      <c r="R681" s="17">
        <v>56.41</v>
      </c>
      <c r="S681" s="18">
        <v>4861.9355000000005</v>
      </c>
      <c r="T681" s="19" t="s">
        <v>36</v>
      </c>
      <c r="U681" s="20" t="s">
        <v>877</v>
      </c>
      <c r="V681" s="22">
        <v>43</v>
      </c>
      <c r="W681" s="22">
        <v>9</v>
      </c>
      <c r="X681" s="23"/>
    </row>
    <row r="682" spans="1:24" s="1" customFormat="1" ht="21" customHeight="1" x14ac:dyDescent="0.3">
      <c r="A682" s="24" t="s">
        <v>23</v>
      </c>
      <c r="B682" s="24" t="s">
        <v>971</v>
      </c>
      <c r="C682" s="27" t="s">
        <v>972</v>
      </c>
      <c r="D682" s="54"/>
      <c r="E682" s="39" t="str">
        <f>HYPERLINK("https://www.google.ru/search?q=3028512-453&amp;newwindow=1&amp;tbm=isch","Еще фото")</f>
        <v>Еще фото</v>
      </c>
      <c r="F682" s="13" t="s">
        <v>98</v>
      </c>
      <c r="G682" s="24" t="s">
        <v>808</v>
      </c>
      <c r="H682" s="24" t="s">
        <v>593</v>
      </c>
      <c r="I682" s="24" t="s">
        <v>809</v>
      </c>
      <c r="J682" s="14" t="s">
        <v>892</v>
      </c>
      <c r="K682" s="15" t="s">
        <v>578</v>
      </c>
      <c r="L682" s="57"/>
      <c r="M682" s="14"/>
      <c r="N682" s="14" t="s">
        <v>91</v>
      </c>
      <c r="O682" s="14"/>
      <c r="P682" s="15" t="s">
        <v>974</v>
      </c>
      <c r="Q682" s="16">
        <v>9699</v>
      </c>
      <c r="R682" s="17">
        <v>56.41</v>
      </c>
      <c r="S682" s="18">
        <v>4861.9355000000005</v>
      </c>
      <c r="T682" s="19" t="s">
        <v>36</v>
      </c>
      <c r="U682" s="20" t="s">
        <v>878</v>
      </c>
      <c r="V682" s="28">
        <v>43.5</v>
      </c>
      <c r="W682" s="22">
        <v>5</v>
      </c>
      <c r="X682" s="23"/>
    </row>
    <row r="683" spans="1:24" s="1" customFormat="1" ht="32.1" customHeight="1" x14ac:dyDescent="0.3">
      <c r="A683" s="24" t="s">
        <v>23</v>
      </c>
      <c r="B683" s="24" t="s">
        <v>971</v>
      </c>
      <c r="C683" s="27" t="s">
        <v>972</v>
      </c>
      <c r="D683" s="55"/>
      <c r="E683" s="39" t="str">
        <f>HYPERLINK("https://www.google.ru/search?q=3028512-453&amp;newwindow=1&amp;tbm=isch","Еще фото")</f>
        <v>Еще фото</v>
      </c>
      <c r="F683" s="13" t="s">
        <v>98</v>
      </c>
      <c r="G683" s="24" t="s">
        <v>808</v>
      </c>
      <c r="H683" s="24" t="s">
        <v>593</v>
      </c>
      <c r="I683" s="24" t="s">
        <v>809</v>
      </c>
      <c r="J683" s="14" t="s">
        <v>892</v>
      </c>
      <c r="K683" s="15" t="s">
        <v>578</v>
      </c>
      <c r="L683" s="58"/>
      <c r="M683" s="14"/>
      <c r="N683" s="14" t="s">
        <v>91</v>
      </c>
      <c r="O683" s="14"/>
      <c r="P683" s="15" t="s">
        <v>974</v>
      </c>
      <c r="Q683" s="16">
        <v>9699</v>
      </c>
      <c r="R683" s="17">
        <v>56.41</v>
      </c>
      <c r="S683" s="18">
        <v>4861.9355000000005</v>
      </c>
      <c r="T683" s="19" t="s">
        <v>36</v>
      </c>
      <c r="U683" s="20" t="s">
        <v>879</v>
      </c>
      <c r="V683" s="22">
        <v>44</v>
      </c>
      <c r="W683" s="22">
        <v>5</v>
      </c>
      <c r="X683" s="23"/>
    </row>
    <row r="684" spans="1:24" s="1" customFormat="1" ht="51.95" customHeight="1" x14ac:dyDescent="0.3">
      <c r="A684" s="11" t="s">
        <v>23</v>
      </c>
      <c r="B684" s="11" t="s">
        <v>975</v>
      </c>
      <c r="C684" s="12" t="s">
        <v>976</v>
      </c>
      <c r="D684" s="59"/>
      <c r="E684" s="39" t="str">
        <f>HYPERLINK("https://www.google.ru/search?q=3025427-600&amp;newwindow=1&amp;tbm=isch","Еще фото")</f>
        <v>Еще фото</v>
      </c>
      <c r="F684" s="13"/>
      <c r="G684" s="11" t="s">
        <v>808</v>
      </c>
      <c r="H684" s="11" t="s">
        <v>593</v>
      </c>
      <c r="I684" s="14" t="s">
        <v>809</v>
      </c>
      <c r="J684" s="14" t="s">
        <v>29</v>
      </c>
      <c r="K684" s="15" t="s">
        <v>64</v>
      </c>
      <c r="L684" s="56" t="s">
        <v>810</v>
      </c>
      <c r="M684" s="14" t="s">
        <v>811</v>
      </c>
      <c r="N684" s="14" t="s">
        <v>57</v>
      </c>
      <c r="O684" s="14"/>
      <c r="P684" s="15" t="s">
        <v>812</v>
      </c>
      <c r="Q684" s="16">
        <v>9399</v>
      </c>
      <c r="R684" s="17">
        <v>56.3</v>
      </c>
      <c r="S684" s="18">
        <v>4723.9355000000005</v>
      </c>
      <c r="T684" s="19" t="s">
        <v>36</v>
      </c>
      <c r="U684" s="20" t="s">
        <v>813</v>
      </c>
      <c r="V684" s="28">
        <v>35.5</v>
      </c>
      <c r="W684" s="22">
        <v>3</v>
      </c>
      <c r="X684" s="23"/>
    </row>
    <row r="685" spans="1:24" s="1" customFormat="1" ht="60.95" customHeight="1" x14ac:dyDescent="0.3">
      <c r="A685" s="24" t="s">
        <v>23</v>
      </c>
      <c r="B685" s="24" t="s">
        <v>975</v>
      </c>
      <c r="C685" s="12" t="s">
        <v>976</v>
      </c>
      <c r="D685" s="60"/>
      <c r="E685" s="39" t="str">
        <f>HYPERLINK("https://www.google.ru/search?q=3025427-600&amp;newwindow=1&amp;tbm=isch","Еще фото")</f>
        <v>Еще фото</v>
      </c>
      <c r="F685" s="13"/>
      <c r="G685" s="24" t="s">
        <v>808</v>
      </c>
      <c r="H685" s="24" t="s">
        <v>593</v>
      </c>
      <c r="I685" s="24" t="s">
        <v>809</v>
      </c>
      <c r="J685" s="14" t="s">
        <v>29</v>
      </c>
      <c r="K685" s="15" t="s">
        <v>64</v>
      </c>
      <c r="L685" s="58"/>
      <c r="M685" s="14" t="s">
        <v>811</v>
      </c>
      <c r="N685" s="14" t="s">
        <v>57</v>
      </c>
      <c r="O685" s="14"/>
      <c r="P685" s="15" t="s">
        <v>812</v>
      </c>
      <c r="Q685" s="16">
        <v>9399</v>
      </c>
      <c r="R685" s="17">
        <v>56.3</v>
      </c>
      <c r="S685" s="18">
        <v>4723.9355000000005</v>
      </c>
      <c r="T685" s="19" t="s">
        <v>36</v>
      </c>
      <c r="U685" s="20" t="s">
        <v>814</v>
      </c>
      <c r="V685" s="28">
        <v>36.5</v>
      </c>
      <c r="W685" s="22">
        <v>6</v>
      </c>
      <c r="X685" s="23"/>
    </row>
    <row r="686" spans="1:24" s="1" customFormat="1" ht="108" customHeight="1" x14ac:dyDescent="0.3">
      <c r="A686" s="11" t="s">
        <v>23</v>
      </c>
      <c r="B686" s="11" t="s">
        <v>977</v>
      </c>
      <c r="C686" s="12" t="s">
        <v>978</v>
      </c>
      <c r="D686" s="25"/>
      <c r="E686" s="39" t="str">
        <f>HYPERLINK("https://www.google.ru/search?q=1285494-410&amp;newwindow=1&amp;tbm=isch","Еще фото")</f>
        <v>Еще фото</v>
      </c>
      <c r="F686" s="13"/>
      <c r="G686" s="11" t="s">
        <v>808</v>
      </c>
      <c r="H686" s="11" t="s">
        <v>593</v>
      </c>
      <c r="I686" s="14" t="s">
        <v>809</v>
      </c>
      <c r="J686" s="14" t="s">
        <v>29</v>
      </c>
      <c r="K686" s="15" t="s">
        <v>64</v>
      </c>
      <c r="L686" s="14" t="s">
        <v>979</v>
      </c>
      <c r="M686" s="14" t="s">
        <v>959</v>
      </c>
      <c r="N686" s="14" t="s">
        <v>91</v>
      </c>
      <c r="O686" s="14" t="s">
        <v>34</v>
      </c>
      <c r="P686" s="15" t="s">
        <v>933</v>
      </c>
      <c r="Q686" s="16">
        <v>16299</v>
      </c>
      <c r="R686" s="17">
        <v>56.08</v>
      </c>
      <c r="S686" s="18">
        <v>8231.4354999999996</v>
      </c>
      <c r="T686" s="19" t="s">
        <v>36</v>
      </c>
      <c r="U686" s="20" t="s">
        <v>863</v>
      </c>
      <c r="V686" s="22">
        <v>35</v>
      </c>
      <c r="W686" s="22">
        <v>1</v>
      </c>
      <c r="X686" s="23"/>
    </row>
    <row r="687" spans="1:24" s="1" customFormat="1" ht="108" customHeight="1" x14ac:dyDescent="0.3">
      <c r="A687" s="11" t="s">
        <v>23</v>
      </c>
      <c r="B687" s="11" t="s">
        <v>912</v>
      </c>
      <c r="C687" s="12" t="s">
        <v>980</v>
      </c>
      <c r="D687" s="25"/>
      <c r="E687" s="39" t="str">
        <f>HYPERLINK("https://www.google.ru/search?q=3024131-005&amp;newwindow=1&amp;tbm=isch","Еще фото")</f>
        <v>Еще фото</v>
      </c>
      <c r="F687" s="13"/>
      <c r="G687" s="11" t="s">
        <v>808</v>
      </c>
      <c r="H687" s="11" t="s">
        <v>593</v>
      </c>
      <c r="I687" s="14" t="s">
        <v>809</v>
      </c>
      <c r="J687" s="14" t="s">
        <v>29</v>
      </c>
      <c r="K687" s="15" t="s">
        <v>64</v>
      </c>
      <c r="L687" s="14" t="s">
        <v>981</v>
      </c>
      <c r="M687" s="14"/>
      <c r="N687" s="14" t="s">
        <v>84</v>
      </c>
      <c r="O687" s="14"/>
      <c r="P687" s="15" t="s">
        <v>982</v>
      </c>
      <c r="Q687" s="16">
        <v>7499</v>
      </c>
      <c r="R687" s="17">
        <v>55.89</v>
      </c>
      <c r="S687" s="18">
        <v>3803.9354999999996</v>
      </c>
      <c r="T687" s="19" t="s">
        <v>36</v>
      </c>
      <c r="U687" s="20" t="s">
        <v>820</v>
      </c>
      <c r="V687" s="22">
        <v>36</v>
      </c>
      <c r="W687" s="22">
        <v>3</v>
      </c>
      <c r="X687" s="23"/>
    </row>
    <row r="688" spans="1:24" s="1" customFormat="1" ht="51.95" customHeight="1" x14ac:dyDescent="0.3">
      <c r="A688" s="11" t="s">
        <v>23</v>
      </c>
      <c r="B688" s="11" t="s">
        <v>983</v>
      </c>
      <c r="C688" s="12" t="s">
        <v>984</v>
      </c>
      <c r="D688" s="59"/>
      <c r="E688" s="39" t="str">
        <f>HYPERLINK("https://www.google.ru/search?q=1285490-001&amp;newwindow=1&amp;tbm=isch","Еще фото")</f>
        <v>Еще фото</v>
      </c>
      <c r="F688" s="13"/>
      <c r="G688" s="11" t="s">
        <v>808</v>
      </c>
      <c r="H688" s="11" t="s">
        <v>593</v>
      </c>
      <c r="I688" s="14" t="s">
        <v>809</v>
      </c>
      <c r="J688" s="14" t="s">
        <v>29</v>
      </c>
      <c r="K688" s="15" t="s">
        <v>64</v>
      </c>
      <c r="L688" s="56" t="s">
        <v>985</v>
      </c>
      <c r="M688" s="14" t="s">
        <v>986</v>
      </c>
      <c r="N688" s="14" t="s">
        <v>33</v>
      </c>
      <c r="O688" s="14" t="s">
        <v>34</v>
      </c>
      <c r="P688" s="15" t="s">
        <v>953</v>
      </c>
      <c r="Q688" s="16">
        <v>8599</v>
      </c>
      <c r="R688" s="17">
        <v>55.83</v>
      </c>
      <c r="S688" s="18">
        <v>4367.4354999999996</v>
      </c>
      <c r="T688" s="19" t="s">
        <v>36</v>
      </c>
      <c r="U688" s="20" t="s">
        <v>863</v>
      </c>
      <c r="V688" s="22">
        <v>35</v>
      </c>
      <c r="W688" s="22">
        <v>1</v>
      </c>
      <c r="X688" s="23"/>
    </row>
    <row r="689" spans="1:24" s="1" customFormat="1" ht="60.95" customHeight="1" x14ac:dyDescent="0.3">
      <c r="A689" s="24" t="s">
        <v>23</v>
      </c>
      <c r="B689" s="24" t="s">
        <v>983</v>
      </c>
      <c r="C689" s="12" t="s">
        <v>984</v>
      </c>
      <c r="D689" s="60"/>
      <c r="E689" s="39" t="str">
        <f>HYPERLINK("https://www.google.ru/search?q=1285490-001&amp;newwindow=1&amp;tbm=isch","Еще фото")</f>
        <v>Еще фото</v>
      </c>
      <c r="F689" s="13"/>
      <c r="G689" s="24" t="s">
        <v>808</v>
      </c>
      <c r="H689" s="24" t="s">
        <v>593</v>
      </c>
      <c r="I689" s="24" t="s">
        <v>809</v>
      </c>
      <c r="J689" s="14" t="s">
        <v>29</v>
      </c>
      <c r="K689" s="15" t="s">
        <v>64</v>
      </c>
      <c r="L689" s="58"/>
      <c r="M689" s="14" t="s">
        <v>986</v>
      </c>
      <c r="N689" s="14" t="s">
        <v>33</v>
      </c>
      <c r="O689" s="14" t="s">
        <v>34</v>
      </c>
      <c r="P689" s="15" t="s">
        <v>953</v>
      </c>
      <c r="Q689" s="16">
        <v>8599</v>
      </c>
      <c r="R689" s="17">
        <v>55.83</v>
      </c>
      <c r="S689" s="18">
        <v>4367.4354999999996</v>
      </c>
      <c r="T689" s="19" t="s">
        <v>36</v>
      </c>
      <c r="U689" s="20" t="s">
        <v>813</v>
      </c>
      <c r="V689" s="28">
        <v>35.5</v>
      </c>
      <c r="W689" s="22">
        <v>5</v>
      </c>
      <c r="X689" s="23"/>
    </row>
    <row r="690" spans="1:24" s="1" customFormat="1" ht="26.1" customHeight="1" x14ac:dyDescent="0.3">
      <c r="A690" s="11" t="s">
        <v>23</v>
      </c>
      <c r="B690" s="11" t="s">
        <v>987</v>
      </c>
      <c r="C690" s="12" t="s">
        <v>988</v>
      </c>
      <c r="D690" s="53"/>
      <c r="E690" s="39" t="str">
        <f>HYPERLINK("https://www.google.ru/search?q=3024888-001&amp;newwindow=1&amp;tbm=isch","Еще фото")</f>
        <v>Еще фото</v>
      </c>
      <c r="F690" s="13"/>
      <c r="G690" s="11" t="s">
        <v>808</v>
      </c>
      <c r="H690" s="11" t="s">
        <v>593</v>
      </c>
      <c r="I690" s="14" t="s">
        <v>809</v>
      </c>
      <c r="J690" s="14" t="s">
        <v>29</v>
      </c>
      <c r="K690" s="15" t="s">
        <v>64</v>
      </c>
      <c r="L690" s="56" t="s">
        <v>989</v>
      </c>
      <c r="M690" s="14" t="s">
        <v>959</v>
      </c>
      <c r="N690" s="14" t="s">
        <v>33</v>
      </c>
      <c r="O690" s="14" t="s">
        <v>34</v>
      </c>
      <c r="P690" s="15" t="s">
        <v>990</v>
      </c>
      <c r="Q690" s="16">
        <v>8899</v>
      </c>
      <c r="R690" s="17">
        <v>55.75</v>
      </c>
      <c r="S690" s="18">
        <v>4528.4354999999996</v>
      </c>
      <c r="T690" s="19" t="s">
        <v>36</v>
      </c>
      <c r="U690" s="20" t="s">
        <v>813</v>
      </c>
      <c r="V690" s="28">
        <v>35.5</v>
      </c>
      <c r="W690" s="22">
        <v>1</v>
      </c>
      <c r="X690" s="23"/>
    </row>
    <row r="691" spans="1:24" s="1" customFormat="1" ht="26.1" customHeight="1" x14ac:dyDescent="0.3">
      <c r="A691" s="24" t="s">
        <v>23</v>
      </c>
      <c r="B691" s="24" t="s">
        <v>987</v>
      </c>
      <c r="C691" s="12" t="s">
        <v>988</v>
      </c>
      <c r="D691" s="54"/>
      <c r="E691" s="39" t="str">
        <f>HYPERLINK("https://www.google.ru/search?q=3024888-001&amp;newwindow=1&amp;tbm=isch","Еще фото")</f>
        <v>Еще фото</v>
      </c>
      <c r="F691" s="13"/>
      <c r="G691" s="24" t="s">
        <v>808</v>
      </c>
      <c r="H691" s="24" t="s">
        <v>593</v>
      </c>
      <c r="I691" s="24" t="s">
        <v>809</v>
      </c>
      <c r="J691" s="14" t="s">
        <v>29</v>
      </c>
      <c r="K691" s="15" t="s">
        <v>64</v>
      </c>
      <c r="L691" s="57"/>
      <c r="M691" s="14" t="s">
        <v>959</v>
      </c>
      <c r="N691" s="14" t="s">
        <v>33</v>
      </c>
      <c r="O691" s="14" t="s">
        <v>34</v>
      </c>
      <c r="P691" s="15" t="s">
        <v>990</v>
      </c>
      <c r="Q691" s="16">
        <v>8899</v>
      </c>
      <c r="R691" s="17">
        <v>55.75</v>
      </c>
      <c r="S691" s="18">
        <v>4528.4354999999996</v>
      </c>
      <c r="T691" s="19" t="s">
        <v>36</v>
      </c>
      <c r="U691" s="20" t="s">
        <v>820</v>
      </c>
      <c r="V691" s="22">
        <v>36</v>
      </c>
      <c r="W691" s="22">
        <v>5</v>
      </c>
      <c r="X691" s="23"/>
    </row>
    <row r="692" spans="1:24" s="1" customFormat="1" ht="26.1" customHeight="1" x14ac:dyDescent="0.3">
      <c r="A692" s="24" t="s">
        <v>23</v>
      </c>
      <c r="B692" s="24" t="s">
        <v>987</v>
      </c>
      <c r="C692" s="12" t="s">
        <v>988</v>
      </c>
      <c r="D692" s="54"/>
      <c r="E692" s="39" t="str">
        <f>HYPERLINK("https://www.google.ru/search?q=3024888-001&amp;newwindow=1&amp;tbm=isch","Еще фото")</f>
        <v>Еще фото</v>
      </c>
      <c r="F692" s="13"/>
      <c r="G692" s="24" t="s">
        <v>808</v>
      </c>
      <c r="H692" s="24" t="s">
        <v>593</v>
      </c>
      <c r="I692" s="24" t="s">
        <v>809</v>
      </c>
      <c r="J692" s="14" t="s">
        <v>29</v>
      </c>
      <c r="K692" s="15" t="s">
        <v>64</v>
      </c>
      <c r="L692" s="57"/>
      <c r="M692" s="14" t="s">
        <v>959</v>
      </c>
      <c r="N692" s="14" t="s">
        <v>33</v>
      </c>
      <c r="O692" s="14" t="s">
        <v>34</v>
      </c>
      <c r="P692" s="15" t="s">
        <v>990</v>
      </c>
      <c r="Q692" s="16">
        <v>8899</v>
      </c>
      <c r="R692" s="17">
        <v>55.75</v>
      </c>
      <c r="S692" s="18">
        <v>4528.4354999999996</v>
      </c>
      <c r="T692" s="19" t="s">
        <v>36</v>
      </c>
      <c r="U692" s="20" t="s">
        <v>814</v>
      </c>
      <c r="V692" s="28">
        <v>36.5</v>
      </c>
      <c r="W692" s="22">
        <v>11</v>
      </c>
      <c r="X692" s="23"/>
    </row>
    <row r="693" spans="1:24" s="1" customFormat="1" ht="26.1" customHeight="1" x14ac:dyDescent="0.3">
      <c r="A693" s="24" t="s">
        <v>23</v>
      </c>
      <c r="B693" s="24" t="s">
        <v>987</v>
      </c>
      <c r="C693" s="12" t="s">
        <v>988</v>
      </c>
      <c r="D693" s="55"/>
      <c r="E693" s="39" t="str">
        <f>HYPERLINK("https://www.google.ru/search?q=3024888-001&amp;newwindow=1&amp;tbm=isch","Еще фото")</f>
        <v>Еще фото</v>
      </c>
      <c r="F693" s="13"/>
      <c r="G693" s="24" t="s">
        <v>808</v>
      </c>
      <c r="H693" s="24" t="s">
        <v>593</v>
      </c>
      <c r="I693" s="24" t="s">
        <v>809</v>
      </c>
      <c r="J693" s="14" t="s">
        <v>29</v>
      </c>
      <c r="K693" s="15" t="s">
        <v>64</v>
      </c>
      <c r="L693" s="58"/>
      <c r="M693" s="14" t="s">
        <v>959</v>
      </c>
      <c r="N693" s="14" t="s">
        <v>33</v>
      </c>
      <c r="O693" s="14" t="s">
        <v>34</v>
      </c>
      <c r="P693" s="15" t="s">
        <v>990</v>
      </c>
      <c r="Q693" s="16">
        <v>8899</v>
      </c>
      <c r="R693" s="17">
        <v>55.75</v>
      </c>
      <c r="S693" s="18">
        <v>4528.4354999999996</v>
      </c>
      <c r="T693" s="19" t="s">
        <v>36</v>
      </c>
      <c r="U693" s="20" t="s">
        <v>598</v>
      </c>
      <c r="V693" s="22">
        <v>37</v>
      </c>
      <c r="W693" s="22">
        <v>3</v>
      </c>
      <c r="X693" s="23"/>
    </row>
    <row r="694" spans="1:24" s="1" customFormat="1" ht="26.1" customHeight="1" x14ac:dyDescent="0.3">
      <c r="A694" s="11" t="s">
        <v>23</v>
      </c>
      <c r="B694" s="11" t="s">
        <v>850</v>
      </c>
      <c r="C694" s="12" t="s">
        <v>991</v>
      </c>
      <c r="D694" s="53"/>
      <c r="E694" s="39" t="str">
        <f>HYPERLINK("https://www.google.ru/search?q=3026736-001&amp;newwindow=1&amp;tbm=isch","Еще фото")</f>
        <v>Еще фото</v>
      </c>
      <c r="F694" s="13"/>
      <c r="G694" s="11" t="s">
        <v>808</v>
      </c>
      <c r="H694" s="11" t="s">
        <v>593</v>
      </c>
      <c r="I694" s="14" t="s">
        <v>809</v>
      </c>
      <c r="J694" s="14" t="s">
        <v>840</v>
      </c>
      <c r="K694" s="15" t="s">
        <v>30</v>
      </c>
      <c r="L694" s="56" t="s">
        <v>852</v>
      </c>
      <c r="M694" s="14" t="s">
        <v>853</v>
      </c>
      <c r="N694" s="14" t="s">
        <v>33</v>
      </c>
      <c r="O694" s="14"/>
      <c r="P694" s="15" t="s">
        <v>992</v>
      </c>
      <c r="Q694" s="16">
        <v>27399</v>
      </c>
      <c r="R694" s="17">
        <v>55.74</v>
      </c>
      <c r="S694" s="18">
        <v>13946.9355</v>
      </c>
      <c r="T694" s="19" t="s">
        <v>36</v>
      </c>
      <c r="U694" s="20" t="s">
        <v>599</v>
      </c>
      <c r="V694" s="28">
        <v>39.5</v>
      </c>
      <c r="W694" s="22">
        <v>6</v>
      </c>
      <c r="X694" s="23"/>
    </row>
    <row r="695" spans="1:24" s="1" customFormat="1" ht="26.1" customHeight="1" x14ac:dyDescent="0.3">
      <c r="A695" s="24" t="s">
        <v>23</v>
      </c>
      <c r="B695" s="24" t="s">
        <v>850</v>
      </c>
      <c r="C695" s="12" t="s">
        <v>991</v>
      </c>
      <c r="D695" s="54"/>
      <c r="E695" s="39" t="str">
        <f>HYPERLINK("https://www.google.ru/search?q=3026736-001&amp;newwindow=1&amp;tbm=isch","Еще фото")</f>
        <v>Еще фото</v>
      </c>
      <c r="F695" s="13"/>
      <c r="G695" s="24" t="s">
        <v>808</v>
      </c>
      <c r="H695" s="24" t="s">
        <v>593</v>
      </c>
      <c r="I695" s="24" t="s">
        <v>809</v>
      </c>
      <c r="J695" s="14" t="s">
        <v>840</v>
      </c>
      <c r="K695" s="15" t="s">
        <v>30</v>
      </c>
      <c r="L695" s="57"/>
      <c r="M695" s="14" t="s">
        <v>853</v>
      </c>
      <c r="N695" s="14" t="s">
        <v>33</v>
      </c>
      <c r="O695" s="14"/>
      <c r="P695" s="15" t="s">
        <v>992</v>
      </c>
      <c r="Q695" s="16">
        <v>27399</v>
      </c>
      <c r="R695" s="17">
        <v>55.74</v>
      </c>
      <c r="S695" s="18">
        <v>13946.9355</v>
      </c>
      <c r="T695" s="19" t="s">
        <v>36</v>
      </c>
      <c r="U695" s="20" t="s">
        <v>600</v>
      </c>
      <c r="V695" s="22">
        <v>40</v>
      </c>
      <c r="W695" s="22">
        <v>1</v>
      </c>
      <c r="X695" s="23"/>
    </row>
    <row r="696" spans="1:24" s="1" customFormat="1" ht="26.1" customHeight="1" x14ac:dyDescent="0.3">
      <c r="A696" s="24" t="s">
        <v>23</v>
      </c>
      <c r="B696" s="24" t="s">
        <v>850</v>
      </c>
      <c r="C696" s="12" t="s">
        <v>991</v>
      </c>
      <c r="D696" s="54"/>
      <c r="E696" s="39" t="str">
        <f>HYPERLINK("https://www.google.ru/search?q=3026736-001&amp;newwindow=1&amp;tbm=isch","Еще фото")</f>
        <v>Еще фото</v>
      </c>
      <c r="F696" s="13"/>
      <c r="G696" s="24" t="s">
        <v>808</v>
      </c>
      <c r="H696" s="24" t="s">
        <v>593</v>
      </c>
      <c r="I696" s="24" t="s">
        <v>809</v>
      </c>
      <c r="J696" s="14" t="s">
        <v>840</v>
      </c>
      <c r="K696" s="15" t="s">
        <v>30</v>
      </c>
      <c r="L696" s="57"/>
      <c r="M696" s="14" t="s">
        <v>853</v>
      </c>
      <c r="N696" s="14" t="s">
        <v>33</v>
      </c>
      <c r="O696" s="14"/>
      <c r="P696" s="15" t="s">
        <v>992</v>
      </c>
      <c r="Q696" s="16">
        <v>27399</v>
      </c>
      <c r="R696" s="17">
        <v>55.74</v>
      </c>
      <c r="S696" s="18">
        <v>13946.9355</v>
      </c>
      <c r="T696" s="19" t="s">
        <v>36</v>
      </c>
      <c r="U696" s="20" t="s">
        <v>601</v>
      </c>
      <c r="V696" s="22">
        <v>41</v>
      </c>
      <c r="W696" s="22">
        <v>9</v>
      </c>
      <c r="X696" s="23"/>
    </row>
    <row r="697" spans="1:24" s="1" customFormat="1" ht="26.1" customHeight="1" x14ac:dyDescent="0.3">
      <c r="A697" s="24" t="s">
        <v>23</v>
      </c>
      <c r="B697" s="24" t="s">
        <v>850</v>
      </c>
      <c r="C697" s="12" t="s">
        <v>991</v>
      </c>
      <c r="D697" s="55"/>
      <c r="E697" s="39" t="str">
        <f>HYPERLINK("https://www.google.ru/search?q=3026736-001&amp;newwindow=1&amp;tbm=isch","Еще фото")</f>
        <v>Еще фото</v>
      </c>
      <c r="F697" s="13"/>
      <c r="G697" s="24" t="s">
        <v>808</v>
      </c>
      <c r="H697" s="24" t="s">
        <v>593</v>
      </c>
      <c r="I697" s="24" t="s">
        <v>809</v>
      </c>
      <c r="J697" s="14" t="s">
        <v>840</v>
      </c>
      <c r="K697" s="15" t="s">
        <v>30</v>
      </c>
      <c r="L697" s="58"/>
      <c r="M697" s="14" t="s">
        <v>853</v>
      </c>
      <c r="N697" s="14" t="s">
        <v>33</v>
      </c>
      <c r="O697" s="14"/>
      <c r="P697" s="15" t="s">
        <v>992</v>
      </c>
      <c r="Q697" s="16">
        <v>27399</v>
      </c>
      <c r="R697" s="17">
        <v>55.74</v>
      </c>
      <c r="S697" s="18">
        <v>13946.9355</v>
      </c>
      <c r="T697" s="19" t="s">
        <v>36</v>
      </c>
      <c r="U697" s="20" t="s">
        <v>602</v>
      </c>
      <c r="V697" s="28">
        <v>41.5</v>
      </c>
      <c r="W697" s="22">
        <v>10</v>
      </c>
      <c r="X697" s="23"/>
    </row>
    <row r="698" spans="1:24" s="1" customFormat="1" ht="14.1" customHeight="1" x14ac:dyDescent="0.3">
      <c r="A698" s="11" t="s">
        <v>23</v>
      </c>
      <c r="B698" s="11" t="s">
        <v>993</v>
      </c>
      <c r="C698" s="12" t="s">
        <v>994</v>
      </c>
      <c r="D698" s="53"/>
      <c r="E698" s="39" t="str">
        <f t="shared" ref="E698:E704" si="10">HYPERLINK("https://www.google.ru/search?q=3027585-003&amp;newwindow=1&amp;tbm=isch","Еще фото")</f>
        <v>Еще фото</v>
      </c>
      <c r="F698" s="13" t="s">
        <v>98</v>
      </c>
      <c r="G698" s="11" t="s">
        <v>808</v>
      </c>
      <c r="H698" s="11" t="s">
        <v>593</v>
      </c>
      <c r="I698" s="14" t="s">
        <v>809</v>
      </c>
      <c r="J698" s="14" t="s">
        <v>29</v>
      </c>
      <c r="K698" s="15" t="s">
        <v>30</v>
      </c>
      <c r="L698" s="56" t="s">
        <v>995</v>
      </c>
      <c r="M698" s="14"/>
      <c r="N698" s="14" t="s">
        <v>33</v>
      </c>
      <c r="O698" s="14"/>
      <c r="P698" s="15" t="s">
        <v>996</v>
      </c>
      <c r="Q698" s="16">
        <v>16599</v>
      </c>
      <c r="R698" s="17">
        <v>55.73</v>
      </c>
      <c r="S698" s="18">
        <v>8449.9354999999996</v>
      </c>
      <c r="T698" s="19" t="s">
        <v>36</v>
      </c>
      <c r="U698" s="20" t="s">
        <v>598</v>
      </c>
      <c r="V698" s="22">
        <v>39</v>
      </c>
      <c r="W698" s="22">
        <v>5</v>
      </c>
      <c r="X698" s="23"/>
    </row>
    <row r="699" spans="1:24" s="1" customFormat="1" ht="14.1" customHeight="1" x14ac:dyDescent="0.3">
      <c r="A699" s="24" t="s">
        <v>23</v>
      </c>
      <c r="B699" s="24" t="s">
        <v>993</v>
      </c>
      <c r="C699" s="12" t="s">
        <v>994</v>
      </c>
      <c r="D699" s="54"/>
      <c r="E699" s="39" t="str">
        <f t="shared" si="10"/>
        <v>Еще фото</v>
      </c>
      <c r="F699" s="13" t="s">
        <v>98</v>
      </c>
      <c r="G699" s="24" t="s">
        <v>808</v>
      </c>
      <c r="H699" s="24" t="s">
        <v>593</v>
      </c>
      <c r="I699" s="24" t="s">
        <v>809</v>
      </c>
      <c r="J699" s="14" t="s">
        <v>29</v>
      </c>
      <c r="K699" s="15" t="s">
        <v>30</v>
      </c>
      <c r="L699" s="57"/>
      <c r="M699" s="14"/>
      <c r="N699" s="14" t="s">
        <v>33</v>
      </c>
      <c r="O699" s="14"/>
      <c r="P699" s="15" t="s">
        <v>996</v>
      </c>
      <c r="Q699" s="16">
        <v>16599</v>
      </c>
      <c r="R699" s="17">
        <v>55.73</v>
      </c>
      <c r="S699" s="18">
        <v>8449.9354999999996</v>
      </c>
      <c r="T699" s="19" t="s">
        <v>36</v>
      </c>
      <c r="U699" s="20" t="s">
        <v>599</v>
      </c>
      <c r="V699" s="28">
        <v>39.5</v>
      </c>
      <c r="W699" s="22">
        <v>4</v>
      </c>
      <c r="X699" s="23"/>
    </row>
    <row r="700" spans="1:24" s="1" customFormat="1" ht="14.1" customHeight="1" x14ac:dyDescent="0.3">
      <c r="A700" s="24" t="s">
        <v>23</v>
      </c>
      <c r="B700" s="24" t="s">
        <v>993</v>
      </c>
      <c r="C700" s="12" t="s">
        <v>994</v>
      </c>
      <c r="D700" s="54"/>
      <c r="E700" s="39" t="str">
        <f t="shared" si="10"/>
        <v>Еще фото</v>
      </c>
      <c r="F700" s="13" t="s">
        <v>98</v>
      </c>
      <c r="G700" s="24" t="s">
        <v>808</v>
      </c>
      <c r="H700" s="24" t="s">
        <v>593</v>
      </c>
      <c r="I700" s="24" t="s">
        <v>809</v>
      </c>
      <c r="J700" s="14" t="s">
        <v>29</v>
      </c>
      <c r="K700" s="15" t="s">
        <v>30</v>
      </c>
      <c r="L700" s="57"/>
      <c r="M700" s="14"/>
      <c r="N700" s="14" t="s">
        <v>33</v>
      </c>
      <c r="O700" s="14"/>
      <c r="P700" s="15" t="s">
        <v>996</v>
      </c>
      <c r="Q700" s="16">
        <v>16599</v>
      </c>
      <c r="R700" s="17">
        <v>55.73</v>
      </c>
      <c r="S700" s="18">
        <v>8449.9354999999996</v>
      </c>
      <c r="T700" s="19" t="s">
        <v>36</v>
      </c>
      <c r="U700" s="20" t="s">
        <v>601</v>
      </c>
      <c r="V700" s="22">
        <v>41</v>
      </c>
      <c r="W700" s="22">
        <v>3</v>
      </c>
      <c r="X700" s="23"/>
    </row>
    <row r="701" spans="1:24" s="1" customFormat="1" ht="14.1" customHeight="1" x14ac:dyDescent="0.3">
      <c r="A701" s="24" t="s">
        <v>23</v>
      </c>
      <c r="B701" s="24" t="s">
        <v>993</v>
      </c>
      <c r="C701" s="12" t="s">
        <v>994</v>
      </c>
      <c r="D701" s="54"/>
      <c r="E701" s="39" t="str">
        <f t="shared" si="10"/>
        <v>Еще фото</v>
      </c>
      <c r="F701" s="13" t="s">
        <v>98</v>
      </c>
      <c r="G701" s="24" t="s">
        <v>808</v>
      </c>
      <c r="H701" s="24" t="s">
        <v>593</v>
      </c>
      <c r="I701" s="24" t="s">
        <v>809</v>
      </c>
      <c r="J701" s="14" t="s">
        <v>29</v>
      </c>
      <c r="K701" s="15" t="s">
        <v>30</v>
      </c>
      <c r="L701" s="57"/>
      <c r="M701" s="14"/>
      <c r="N701" s="14" t="s">
        <v>33</v>
      </c>
      <c r="O701" s="14"/>
      <c r="P701" s="15" t="s">
        <v>996</v>
      </c>
      <c r="Q701" s="16">
        <v>16599</v>
      </c>
      <c r="R701" s="17">
        <v>55.73</v>
      </c>
      <c r="S701" s="18">
        <v>8449.9354999999996</v>
      </c>
      <c r="T701" s="19" t="s">
        <v>36</v>
      </c>
      <c r="U701" s="20" t="s">
        <v>602</v>
      </c>
      <c r="V701" s="28">
        <v>41.5</v>
      </c>
      <c r="W701" s="22">
        <v>11</v>
      </c>
      <c r="X701" s="23"/>
    </row>
    <row r="702" spans="1:24" s="1" customFormat="1" ht="14.1" customHeight="1" x14ac:dyDescent="0.3">
      <c r="A702" s="24" t="s">
        <v>23</v>
      </c>
      <c r="B702" s="24" t="s">
        <v>993</v>
      </c>
      <c r="C702" s="12" t="s">
        <v>994</v>
      </c>
      <c r="D702" s="54"/>
      <c r="E702" s="39" t="str">
        <f t="shared" si="10"/>
        <v>Еще фото</v>
      </c>
      <c r="F702" s="13" t="s">
        <v>98</v>
      </c>
      <c r="G702" s="24" t="s">
        <v>808</v>
      </c>
      <c r="H702" s="24" t="s">
        <v>593</v>
      </c>
      <c r="I702" s="24" t="s">
        <v>809</v>
      </c>
      <c r="J702" s="14" t="s">
        <v>29</v>
      </c>
      <c r="K702" s="15" t="s">
        <v>30</v>
      </c>
      <c r="L702" s="57"/>
      <c r="M702" s="14"/>
      <c r="N702" s="14" t="s">
        <v>33</v>
      </c>
      <c r="O702" s="14"/>
      <c r="P702" s="15" t="s">
        <v>996</v>
      </c>
      <c r="Q702" s="16">
        <v>16599</v>
      </c>
      <c r="R702" s="17">
        <v>55.73</v>
      </c>
      <c r="S702" s="18">
        <v>8449.9354999999996</v>
      </c>
      <c r="T702" s="19" t="s">
        <v>36</v>
      </c>
      <c r="U702" s="20" t="s">
        <v>603</v>
      </c>
      <c r="V702" s="22">
        <v>42</v>
      </c>
      <c r="W702" s="22">
        <v>10</v>
      </c>
      <c r="X702" s="23"/>
    </row>
    <row r="703" spans="1:24" s="1" customFormat="1" ht="14.1" customHeight="1" x14ac:dyDescent="0.3">
      <c r="A703" s="24" t="s">
        <v>23</v>
      </c>
      <c r="B703" s="24" t="s">
        <v>993</v>
      </c>
      <c r="C703" s="12" t="s">
        <v>994</v>
      </c>
      <c r="D703" s="54"/>
      <c r="E703" s="39" t="str">
        <f t="shared" si="10"/>
        <v>Еще фото</v>
      </c>
      <c r="F703" s="13" t="s">
        <v>98</v>
      </c>
      <c r="G703" s="24" t="s">
        <v>808</v>
      </c>
      <c r="H703" s="24" t="s">
        <v>593</v>
      </c>
      <c r="I703" s="24" t="s">
        <v>809</v>
      </c>
      <c r="J703" s="14" t="s">
        <v>29</v>
      </c>
      <c r="K703" s="15" t="s">
        <v>30</v>
      </c>
      <c r="L703" s="57"/>
      <c r="M703" s="14"/>
      <c r="N703" s="14" t="s">
        <v>33</v>
      </c>
      <c r="O703" s="14"/>
      <c r="P703" s="15" t="s">
        <v>996</v>
      </c>
      <c r="Q703" s="16">
        <v>16599</v>
      </c>
      <c r="R703" s="17">
        <v>55.73</v>
      </c>
      <c r="S703" s="18">
        <v>8449.9354999999996</v>
      </c>
      <c r="T703" s="19" t="s">
        <v>36</v>
      </c>
      <c r="U703" s="20" t="s">
        <v>604</v>
      </c>
      <c r="V703" s="22">
        <v>43</v>
      </c>
      <c r="W703" s="22">
        <v>9</v>
      </c>
      <c r="X703" s="23"/>
    </row>
    <row r="704" spans="1:24" s="1" customFormat="1" ht="17.100000000000001" customHeight="1" x14ac:dyDescent="0.3">
      <c r="A704" s="24" t="s">
        <v>23</v>
      </c>
      <c r="B704" s="24" t="s">
        <v>993</v>
      </c>
      <c r="C704" s="12" t="s">
        <v>994</v>
      </c>
      <c r="D704" s="55"/>
      <c r="E704" s="39" t="str">
        <f t="shared" si="10"/>
        <v>Еще фото</v>
      </c>
      <c r="F704" s="13" t="s">
        <v>98</v>
      </c>
      <c r="G704" s="24" t="s">
        <v>808</v>
      </c>
      <c r="H704" s="24" t="s">
        <v>593</v>
      </c>
      <c r="I704" s="24" t="s">
        <v>809</v>
      </c>
      <c r="J704" s="14" t="s">
        <v>29</v>
      </c>
      <c r="K704" s="15" t="s">
        <v>30</v>
      </c>
      <c r="L704" s="58"/>
      <c r="M704" s="14"/>
      <c r="N704" s="14" t="s">
        <v>33</v>
      </c>
      <c r="O704" s="14"/>
      <c r="P704" s="15" t="s">
        <v>996</v>
      </c>
      <c r="Q704" s="16">
        <v>16599</v>
      </c>
      <c r="R704" s="17">
        <v>55.73</v>
      </c>
      <c r="S704" s="18">
        <v>8449.9354999999996</v>
      </c>
      <c r="T704" s="19" t="s">
        <v>36</v>
      </c>
      <c r="U704" s="20" t="s">
        <v>605</v>
      </c>
      <c r="V704" s="28">
        <v>43.5</v>
      </c>
      <c r="W704" s="22">
        <v>3</v>
      </c>
      <c r="X704" s="23"/>
    </row>
    <row r="705" spans="1:24" s="1" customFormat="1" ht="35.1" customHeight="1" x14ac:dyDescent="0.3">
      <c r="A705" s="11" t="s">
        <v>23</v>
      </c>
      <c r="B705" s="11" t="s">
        <v>997</v>
      </c>
      <c r="C705" s="12" t="s">
        <v>998</v>
      </c>
      <c r="D705" s="53"/>
      <c r="E705" s="39" t="str">
        <f>HYPERLINK("https://www.google.ru/search?q=3026609-300&amp;newwindow=1&amp;tbm=isch","Еще фото")</f>
        <v>Еще фото</v>
      </c>
      <c r="F705" s="13"/>
      <c r="G705" s="11" t="s">
        <v>808</v>
      </c>
      <c r="H705" s="11" t="s">
        <v>593</v>
      </c>
      <c r="I705" s="14" t="s">
        <v>809</v>
      </c>
      <c r="J705" s="14" t="s">
        <v>29</v>
      </c>
      <c r="K705" s="15" t="s">
        <v>64</v>
      </c>
      <c r="L705" s="56" t="s">
        <v>999</v>
      </c>
      <c r="M705" s="14"/>
      <c r="N705" s="14" t="s">
        <v>1000</v>
      </c>
      <c r="O705" s="14"/>
      <c r="P705" s="15" t="s">
        <v>1001</v>
      </c>
      <c r="Q705" s="16">
        <v>15999</v>
      </c>
      <c r="R705" s="17">
        <v>52.89</v>
      </c>
      <c r="S705" s="18">
        <v>8668.4354999999996</v>
      </c>
      <c r="T705" s="19" t="s">
        <v>36</v>
      </c>
      <c r="U705" s="20" t="s">
        <v>863</v>
      </c>
      <c r="V705" s="22">
        <v>35</v>
      </c>
      <c r="W705" s="22">
        <v>5</v>
      </c>
      <c r="X705" s="23"/>
    </row>
    <row r="706" spans="1:24" s="1" customFormat="1" ht="35.1" customHeight="1" x14ac:dyDescent="0.3">
      <c r="A706" s="24" t="s">
        <v>23</v>
      </c>
      <c r="B706" s="24" t="s">
        <v>997</v>
      </c>
      <c r="C706" s="12" t="s">
        <v>998</v>
      </c>
      <c r="D706" s="54"/>
      <c r="E706" s="39" t="str">
        <f>HYPERLINK("https://www.google.ru/search?q=3026609-300&amp;newwindow=1&amp;tbm=isch","Еще фото")</f>
        <v>Еще фото</v>
      </c>
      <c r="F706" s="13"/>
      <c r="G706" s="24" t="s">
        <v>808</v>
      </c>
      <c r="H706" s="24" t="s">
        <v>593</v>
      </c>
      <c r="I706" s="24" t="s">
        <v>809</v>
      </c>
      <c r="J706" s="14" t="s">
        <v>29</v>
      </c>
      <c r="K706" s="15" t="s">
        <v>64</v>
      </c>
      <c r="L706" s="57"/>
      <c r="M706" s="14"/>
      <c r="N706" s="14" t="s">
        <v>1000</v>
      </c>
      <c r="O706" s="14"/>
      <c r="P706" s="15" t="s">
        <v>1001</v>
      </c>
      <c r="Q706" s="16">
        <v>15999</v>
      </c>
      <c r="R706" s="17">
        <v>52.89</v>
      </c>
      <c r="S706" s="18">
        <v>8668.4354999999996</v>
      </c>
      <c r="T706" s="19" t="s">
        <v>36</v>
      </c>
      <c r="U706" s="20" t="s">
        <v>813</v>
      </c>
      <c r="V706" s="28">
        <v>35.5</v>
      </c>
      <c r="W706" s="22">
        <v>11</v>
      </c>
      <c r="X706" s="23"/>
    </row>
    <row r="707" spans="1:24" s="1" customFormat="1" ht="36.950000000000003" customHeight="1" x14ac:dyDescent="0.3">
      <c r="A707" s="24" t="s">
        <v>23</v>
      </c>
      <c r="B707" s="24" t="s">
        <v>997</v>
      </c>
      <c r="C707" s="12" t="s">
        <v>998</v>
      </c>
      <c r="D707" s="55"/>
      <c r="E707" s="39" t="str">
        <f>HYPERLINK("https://www.google.ru/search?q=3026609-300&amp;newwindow=1&amp;tbm=isch","Еще фото")</f>
        <v>Еще фото</v>
      </c>
      <c r="F707" s="13"/>
      <c r="G707" s="24" t="s">
        <v>808</v>
      </c>
      <c r="H707" s="24" t="s">
        <v>593</v>
      </c>
      <c r="I707" s="24" t="s">
        <v>809</v>
      </c>
      <c r="J707" s="14" t="s">
        <v>29</v>
      </c>
      <c r="K707" s="15" t="s">
        <v>64</v>
      </c>
      <c r="L707" s="58"/>
      <c r="M707" s="14"/>
      <c r="N707" s="14" t="s">
        <v>1000</v>
      </c>
      <c r="O707" s="14"/>
      <c r="P707" s="15" t="s">
        <v>1001</v>
      </c>
      <c r="Q707" s="16">
        <v>15999</v>
      </c>
      <c r="R707" s="17">
        <v>52.89</v>
      </c>
      <c r="S707" s="18">
        <v>8668.4354999999996</v>
      </c>
      <c r="T707" s="19" t="s">
        <v>36</v>
      </c>
      <c r="U707" s="20" t="s">
        <v>820</v>
      </c>
      <c r="V707" s="22">
        <v>36</v>
      </c>
      <c r="W707" s="22">
        <v>4</v>
      </c>
      <c r="X707" s="23"/>
    </row>
    <row r="708" spans="1:24" s="1" customFormat="1" ht="108" customHeight="1" x14ac:dyDescent="0.3">
      <c r="A708" s="11" t="s">
        <v>23</v>
      </c>
      <c r="B708" s="11" t="s">
        <v>1002</v>
      </c>
      <c r="C708" s="12" t="s">
        <v>1003</v>
      </c>
      <c r="D708" s="25"/>
      <c r="E708" s="39" t="str">
        <f>HYPERLINK("https://www.google.ru/search?q=3025522-800&amp;newwindow=1&amp;tbm=isch","Еще фото")</f>
        <v>Еще фото</v>
      </c>
      <c r="F708" s="13"/>
      <c r="G708" s="11" t="s">
        <v>808</v>
      </c>
      <c r="H708" s="11" t="s">
        <v>593</v>
      </c>
      <c r="I708" s="14" t="s">
        <v>809</v>
      </c>
      <c r="J708" s="14" t="s">
        <v>29</v>
      </c>
      <c r="K708" s="15" t="s">
        <v>578</v>
      </c>
      <c r="L708" s="14" t="s">
        <v>1004</v>
      </c>
      <c r="M708" s="14" t="s">
        <v>836</v>
      </c>
      <c r="N708" s="14" t="s">
        <v>434</v>
      </c>
      <c r="O708" s="14"/>
      <c r="P708" s="15" t="s">
        <v>1005</v>
      </c>
      <c r="Q708" s="16">
        <v>26999</v>
      </c>
      <c r="R708" s="17">
        <v>52.56</v>
      </c>
      <c r="S708" s="18">
        <v>14728.9355</v>
      </c>
      <c r="T708" s="19" t="s">
        <v>36</v>
      </c>
      <c r="U708" s="20" t="s">
        <v>604</v>
      </c>
      <c r="V708" s="22">
        <v>43</v>
      </c>
      <c r="W708" s="22">
        <v>1</v>
      </c>
      <c r="X708" s="23"/>
    </row>
    <row r="709" spans="1:24" s="1" customFormat="1" ht="108" customHeight="1" x14ac:dyDescent="0.3">
      <c r="A709" s="11" t="s">
        <v>23</v>
      </c>
      <c r="B709" s="11" t="s">
        <v>1006</v>
      </c>
      <c r="C709" s="12" t="s">
        <v>1007</v>
      </c>
      <c r="D709" s="25"/>
      <c r="E709" s="39" t="str">
        <f>HYPERLINK("https://www.google.ru/search?q=3027588-600&amp;newwindow=1&amp;tbm=isch","Еще фото")</f>
        <v>Еще фото</v>
      </c>
      <c r="F709" s="13" t="s">
        <v>98</v>
      </c>
      <c r="G709" s="11" t="s">
        <v>808</v>
      </c>
      <c r="H709" s="11" t="s">
        <v>593</v>
      </c>
      <c r="I709" s="14" t="s">
        <v>809</v>
      </c>
      <c r="J709" s="14" t="s">
        <v>29</v>
      </c>
      <c r="K709" s="15" t="s">
        <v>578</v>
      </c>
      <c r="L709" s="14" t="s">
        <v>1008</v>
      </c>
      <c r="M709" s="14" t="s">
        <v>32</v>
      </c>
      <c r="N709" s="14" t="s">
        <v>140</v>
      </c>
      <c r="O709" s="14"/>
      <c r="P709" s="15" t="s">
        <v>1009</v>
      </c>
      <c r="Q709" s="16">
        <v>23699</v>
      </c>
      <c r="R709" s="17">
        <v>52.45</v>
      </c>
      <c r="S709" s="18">
        <v>12957.9355</v>
      </c>
      <c r="T709" s="19" t="s">
        <v>36</v>
      </c>
      <c r="U709" s="20" t="s">
        <v>876</v>
      </c>
      <c r="V709" s="22">
        <v>42</v>
      </c>
      <c r="W709" s="22">
        <v>3</v>
      </c>
      <c r="X709" s="23"/>
    </row>
    <row r="710" spans="1:24" s="1" customFormat="1" ht="35.1" customHeight="1" x14ac:dyDescent="0.3">
      <c r="A710" s="11" t="s">
        <v>23</v>
      </c>
      <c r="B710" s="11" t="s">
        <v>1010</v>
      </c>
      <c r="C710" s="12" t="s">
        <v>1011</v>
      </c>
      <c r="D710" s="53"/>
      <c r="E710" s="39" t="str">
        <f>HYPERLINK("https://www.google.ru/search?q=3026582-601&amp;newwindow=1&amp;tbm=isch","Еще фото")</f>
        <v>Еще фото</v>
      </c>
      <c r="F710" s="13" t="s">
        <v>98</v>
      </c>
      <c r="G710" s="11" t="s">
        <v>808</v>
      </c>
      <c r="H710" s="11" t="s">
        <v>593</v>
      </c>
      <c r="I710" s="14" t="s">
        <v>809</v>
      </c>
      <c r="J710" s="14" t="s">
        <v>29</v>
      </c>
      <c r="K710" s="15" t="s">
        <v>30</v>
      </c>
      <c r="L710" s="56" t="s">
        <v>1012</v>
      </c>
      <c r="M710" s="14" t="s">
        <v>824</v>
      </c>
      <c r="N710" s="14" t="s">
        <v>1013</v>
      </c>
      <c r="O710" s="14"/>
      <c r="P710" s="15" t="s">
        <v>1014</v>
      </c>
      <c r="Q710" s="16">
        <v>21799</v>
      </c>
      <c r="R710" s="17">
        <v>52.44</v>
      </c>
      <c r="S710" s="18">
        <v>11922.9355</v>
      </c>
      <c r="T710" s="19" t="s">
        <v>36</v>
      </c>
      <c r="U710" s="20" t="s">
        <v>601</v>
      </c>
      <c r="V710" s="22">
        <v>41</v>
      </c>
      <c r="W710" s="22">
        <v>1</v>
      </c>
      <c r="X710" s="23"/>
    </row>
    <row r="711" spans="1:24" s="1" customFormat="1" ht="35.1" customHeight="1" x14ac:dyDescent="0.3">
      <c r="A711" s="24" t="s">
        <v>23</v>
      </c>
      <c r="B711" s="24" t="s">
        <v>1010</v>
      </c>
      <c r="C711" s="12" t="s">
        <v>1011</v>
      </c>
      <c r="D711" s="54"/>
      <c r="E711" s="39" t="str">
        <f>HYPERLINK("https://www.google.ru/search?q=3026582-601&amp;newwindow=1&amp;tbm=isch","Еще фото")</f>
        <v>Еще фото</v>
      </c>
      <c r="F711" s="13" t="s">
        <v>98</v>
      </c>
      <c r="G711" s="24" t="s">
        <v>808</v>
      </c>
      <c r="H711" s="24" t="s">
        <v>593</v>
      </c>
      <c r="I711" s="24" t="s">
        <v>809</v>
      </c>
      <c r="J711" s="14" t="s">
        <v>29</v>
      </c>
      <c r="K711" s="15" t="s">
        <v>30</v>
      </c>
      <c r="L711" s="57"/>
      <c r="M711" s="14" t="s">
        <v>824</v>
      </c>
      <c r="N711" s="14" t="s">
        <v>1013</v>
      </c>
      <c r="O711" s="14"/>
      <c r="P711" s="15" t="s">
        <v>1014</v>
      </c>
      <c r="Q711" s="16">
        <v>21799</v>
      </c>
      <c r="R711" s="17">
        <v>52.44</v>
      </c>
      <c r="S711" s="18">
        <v>11922.9355</v>
      </c>
      <c r="T711" s="19" t="s">
        <v>36</v>
      </c>
      <c r="U711" s="20" t="s">
        <v>602</v>
      </c>
      <c r="V711" s="28">
        <v>41.5</v>
      </c>
      <c r="W711" s="22">
        <v>4</v>
      </c>
      <c r="X711" s="23"/>
    </row>
    <row r="712" spans="1:24" s="1" customFormat="1" ht="36.950000000000003" customHeight="1" x14ac:dyDescent="0.3">
      <c r="A712" s="24" t="s">
        <v>23</v>
      </c>
      <c r="B712" s="24" t="s">
        <v>1010</v>
      </c>
      <c r="C712" s="12" t="s">
        <v>1011</v>
      </c>
      <c r="D712" s="55"/>
      <c r="E712" s="39" t="str">
        <f>HYPERLINK("https://www.google.ru/search?q=3026582-601&amp;newwindow=1&amp;tbm=isch","Еще фото")</f>
        <v>Еще фото</v>
      </c>
      <c r="F712" s="13" t="s">
        <v>98</v>
      </c>
      <c r="G712" s="24" t="s">
        <v>808</v>
      </c>
      <c r="H712" s="24" t="s">
        <v>593</v>
      </c>
      <c r="I712" s="24" t="s">
        <v>809</v>
      </c>
      <c r="J712" s="14" t="s">
        <v>29</v>
      </c>
      <c r="K712" s="15" t="s">
        <v>30</v>
      </c>
      <c r="L712" s="58"/>
      <c r="M712" s="14" t="s">
        <v>824</v>
      </c>
      <c r="N712" s="14" t="s">
        <v>1013</v>
      </c>
      <c r="O712" s="14"/>
      <c r="P712" s="15" t="s">
        <v>1014</v>
      </c>
      <c r="Q712" s="16">
        <v>21799</v>
      </c>
      <c r="R712" s="17">
        <v>52.44</v>
      </c>
      <c r="S712" s="18">
        <v>11922.9355</v>
      </c>
      <c r="T712" s="19" t="s">
        <v>36</v>
      </c>
      <c r="U712" s="20" t="s">
        <v>604</v>
      </c>
      <c r="V712" s="22">
        <v>43</v>
      </c>
      <c r="W712" s="22">
        <v>1</v>
      </c>
      <c r="X712" s="23"/>
    </row>
    <row r="713" spans="1:24" s="1" customFormat="1" ht="26.1" customHeight="1" x14ac:dyDescent="0.3">
      <c r="A713" s="11" t="s">
        <v>23</v>
      </c>
      <c r="B713" s="11" t="s">
        <v>1015</v>
      </c>
      <c r="C713" s="12" t="s">
        <v>1016</v>
      </c>
      <c r="D713" s="53"/>
      <c r="E713" s="39" t="str">
        <f>HYPERLINK("https://www.google.ru/search?q=1285490-923&amp;newwindow=1&amp;tbm=isch","Еще фото")</f>
        <v>Еще фото</v>
      </c>
      <c r="F713" s="13"/>
      <c r="G713" s="11" t="s">
        <v>808</v>
      </c>
      <c r="H713" s="11" t="s">
        <v>593</v>
      </c>
      <c r="I713" s="14" t="s">
        <v>809</v>
      </c>
      <c r="J713" s="14" t="s">
        <v>29</v>
      </c>
      <c r="K713" s="15" t="s">
        <v>64</v>
      </c>
      <c r="L713" s="56" t="s">
        <v>985</v>
      </c>
      <c r="M713" s="14" t="s">
        <v>986</v>
      </c>
      <c r="N713" s="14" t="s">
        <v>670</v>
      </c>
      <c r="O713" s="14" t="s">
        <v>34</v>
      </c>
      <c r="P713" s="15" t="s">
        <v>953</v>
      </c>
      <c r="Q713" s="16">
        <v>8399</v>
      </c>
      <c r="R713" s="17">
        <v>52.4</v>
      </c>
      <c r="S713" s="18">
        <v>4597.4354999999996</v>
      </c>
      <c r="T713" s="19" t="s">
        <v>36</v>
      </c>
      <c r="U713" s="20" t="s">
        <v>863</v>
      </c>
      <c r="V713" s="22">
        <v>35</v>
      </c>
      <c r="W713" s="22">
        <v>8</v>
      </c>
      <c r="X713" s="23"/>
    </row>
    <row r="714" spans="1:24" s="1" customFormat="1" ht="26.1" customHeight="1" x14ac:dyDescent="0.3">
      <c r="A714" s="24" t="s">
        <v>23</v>
      </c>
      <c r="B714" s="24" t="s">
        <v>1015</v>
      </c>
      <c r="C714" s="12" t="s">
        <v>1016</v>
      </c>
      <c r="D714" s="54"/>
      <c r="E714" s="39" t="str">
        <f>HYPERLINK("https://www.google.ru/search?q=1285490-923&amp;newwindow=1&amp;tbm=isch","Еще фото")</f>
        <v>Еще фото</v>
      </c>
      <c r="F714" s="13"/>
      <c r="G714" s="24" t="s">
        <v>808</v>
      </c>
      <c r="H714" s="24" t="s">
        <v>593</v>
      </c>
      <c r="I714" s="24" t="s">
        <v>809</v>
      </c>
      <c r="J714" s="14" t="s">
        <v>29</v>
      </c>
      <c r="K714" s="15" t="s">
        <v>64</v>
      </c>
      <c r="L714" s="57"/>
      <c r="M714" s="14" t="s">
        <v>986</v>
      </c>
      <c r="N714" s="14" t="s">
        <v>670</v>
      </c>
      <c r="O714" s="14" t="s">
        <v>34</v>
      </c>
      <c r="P714" s="15" t="s">
        <v>953</v>
      </c>
      <c r="Q714" s="16">
        <v>8399</v>
      </c>
      <c r="R714" s="17">
        <v>52.4</v>
      </c>
      <c r="S714" s="18">
        <v>4597.4354999999996</v>
      </c>
      <c r="T714" s="19" t="s">
        <v>36</v>
      </c>
      <c r="U714" s="20" t="s">
        <v>813</v>
      </c>
      <c r="V714" s="28">
        <v>35.5</v>
      </c>
      <c r="W714" s="22">
        <v>2</v>
      </c>
      <c r="X714" s="23"/>
    </row>
    <row r="715" spans="1:24" s="1" customFormat="1" ht="26.1" customHeight="1" x14ac:dyDescent="0.3">
      <c r="A715" s="24" t="s">
        <v>23</v>
      </c>
      <c r="B715" s="24" t="s">
        <v>1015</v>
      </c>
      <c r="C715" s="12" t="s">
        <v>1016</v>
      </c>
      <c r="D715" s="54"/>
      <c r="E715" s="39" t="str">
        <f>HYPERLINK("https://www.google.ru/search?q=1285490-923&amp;newwindow=1&amp;tbm=isch","Еще фото")</f>
        <v>Еще фото</v>
      </c>
      <c r="F715" s="13"/>
      <c r="G715" s="24" t="s">
        <v>808</v>
      </c>
      <c r="H715" s="24" t="s">
        <v>593</v>
      </c>
      <c r="I715" s="24" t="s">
        <v>809</v>
      </c>
      <c r="J715" s="14" t="s">
        <v>29</v>
      </c>
      <c r="K715" s="15" t="s">
        <v>64</v>
      </c>
      <c r="L715" s="57"/>
      <c r="M715" s="14" t="s">
        <v>986</v>
      </c>
      <c r="N715" s="14" t="s">
        <v>670</v>
      </c>
      <c r="O715" s="14" t="s">
        <v>34</v>
      </c>
      <c r="P715" s="15" t="s">
        <v>953</v>
      </c>
      <c r="Q715" s="16">
        <v>8399</v>
      </c>
      <c r="R715" s="17">
        <v>52.4</v>
      </c>
      <c r="S715" s="18">
        <v>4597.4354999999996</v>
      </c>
      <c r="T715" s="19" t="s">
        <v>36</v>
      </c>
      <c r="U715" s="20" t="s">
        <v>820</v>
      </c>
      <c r="V715" s="22">
        <v>36</v>
      </c>
      <c r="W715" s="22">
        <v>4</v>
      </c>
      <c r="X715" s="23"/>
    </row>
    <row r="716" spans="1:24" s="1" customFormat="1" ht="26.1" customHeight="1" x14ac:dyDescent="0.3">
      <c r="A716" s="24" t="s">
        <v>23</v>
      </c>
      <c r="B716" s="24" t="s">
        <v>1015</v>
      </c>
      <c r="C716" s="12" t="s">
        <v>1016</v>
      </c>
      <c r="D716" s="55"/>
      <c r="E716" s="39" t="str">
        <f>HYPERLINK("https://www.google.ru/search?q=1285490-923&amp;newwindow=1&amp;tbm=isch","Еще фото")</f>
        <v>Еще фото</v>
      </c>
      <c r="F716" s="13"/>
      <c r="G716" s="24" t="s">
        <v>808</v>
      </c>
      <c r="H716" s="24" t="s">
        <v>593</v>
      </c>
      <c r="I716" s="24" t="s">
        <v>809</v>
      </c>
      <c r="J716" s="14" t="s">
        <v>29</v>
      </c>
      <c r="K716" s="15" t="s">
        <v>64</v>
      </c>
      <c r="L716" s="58"/>
      <c r="M716" s="14" t="s">
        <v>986</v>
      </c>
      <c r="N716" s="14" t="s">
        <v>670</v>
      </c>
      <c r="O716" s="14" t="s">
        <v>34</v>
      </c>
      <c r="P716" s="15" t="s">
        <v>953</v>
      </c>
      <c r="Q716" s="16">
        <v>8399</v>
      </c>
      <c r="R716" s="17">
        <v>52.4</v>
      </c>
      <c r="S716" s="18">
        <v>4597.4354999999996</v>
      </c>
      <c r="T716" s="19" t="s">
        <v>36</v>
      </c>
      <c r="U716" s="20" t="s">
        <v>814</v>
      </c>
      <c r="V716" s="28">
        <v>36.5</v>
      </c>
      <c r="W716" s="22">
        <v>3</v>
      </c>
      <c r="X716" s="23"/>
    </row>
    <row r="717" spans="1:24" s="1" customFormat="1" ht="26.1" customHeight="1" x14ac:dyDescent="0.3">
      <c r="A717" s="11" t="s">
        <v>23</v>
      </c>
      <c r="B717" s="11" t="s">
        <v>1017</v>
      </c>
      <c r="C717" s="12" t="s">
        <v>1018</v>
      </c>
      <c r="D717" s="53"/>
      <c r="E717" s="39" t="str">
        <f>HYPERLINK("https://www.google.ru/search?q=3025427-001&amp;newwindow=1&amp;tbm=isch","Еще фото")</f>
        <v>Еще фото</v>
      </c>
      <c r="F717" s="13"/>
      <c r="G717" s="11" t="s">
        <v>808</v>
      </c>
      <c r="H717" s="11" t="s">
        <v>593</v>
      </c>
      <c r="I717" s="14" t="s">
        <v>809</v>
      </c>
      <c r="J717" s="14" t="s">
        <v>29</v>
      </c>
      <c r="K717" s="15" t="s">
        <v>64</v>
      </c>
      <c r="L717" s="56" t="s">
        <v>1019</v>
      </c>
      <c r="M717" s="14" t="s">
        <v>1020</v>
      </c>
      <c r="N717" s="14" t="s">
        <v>33</v>
      </c>
      <c r="O717" s="14"/>
      <c r="P717" s="15" t="s">
        <v>812</v>
      </c>
      <c r="Q717" s="16">
        <v>10499</v>
      </c>
      <c r="R717" s="17">
        <v>52.4</v>
      </c>
      <c r="S717" s="18">
        <v>5747.4355000000005</v>
      </c>
      <c r="T717" s="19" t="s">
        <v>36</v>
      </c>
      <c r="U717" s="20" t="s">
        <v>820</v>
      </c>
      <c r="V717" s="22">
        <v>36</v>
      </c>
      <c r="W717" s="22">
        <v>1</v>
      </c>
      <c r="X717" s="23"/>
    </row>
    <row r="718" spans="1:24" s="1" customFormat="1" ht="26.1" customHeight="1" x14ac:dyDescent="0.3">
      <c r="A718" s="24" t="s">
        <v>23</v>
      </c>
      <c r="B718" s="24" t="s">
        <v>1017</v>
      </c>
      <c r="C718" s="12" t="s">
        <v>1018</v>
      </c>
      <c r="D718" s="54"/>
      <c r="E718" s="39" t="str">
        <f>HYPERLINK("https://www.google.ru/search?q=3025427-001&amp;newwindow=1&amp;tbm=isch","Еще фото")</f>
        <v>Еще фото</v>
      </c>
      <c r="F718" s="13"/>
      <c r="G718" s="24" t="s">
        <v>808</v>
      </c>
      <c r="H718" s="24" t="s">
        <v>593</v>
      </c>
      <c r="I718" s="24" t="s">
        <v>809</v>
      </c>
      <c r="J718" s="14" t="s">
        <v>29</v>
      </c>
      <c r="K718" s="15" t="s">
        <v>64</v>
      </c>
      <c r="L718" s="57"/>
      <c r="M718" s="14" t="s">
        <v>1020</v>
      </c>
      <c r="N718" s="14" t="s">
        <v>33</v>
      </c>
      <c r="O718" s="14"/>
      <c r="P718" s="15" t="s">
        <v>812</v>
      </c>
      <c r="Q718" s="16">
        <v>10499</v>
      </c>
      <c r="R718" s="17">
        <v>52.4</v>
      </c>
      <c r="S718" s="18">
        <v>5747.4355000000005</v>
      </c>
      <c r="T718" s="19" t="s">
        <v>36</v>
      </c>
      <c r="U718" s="20" t="s">
        <v>814</v>
      </c>
      <c r="V718" s="28">
        <v>36.5</v>
      </c>
      <c r="W718" s="22">
        <v>3</v>
      </c>
      <c r="X718" s="23"/>
    </row>
    <row r="719" spans="1:24" s="1" customFormat="1" ht="26.1" customHeight="1" x14ac:dyDescent="0.3">
      <c r="A719" s="24" t="s">
        <v>23</v>
      </c>
      <c r="B719" s="24" t="s">
        <v>1017</v>
      </c>
      <c r="C719" s="12" t="s">
        <v>1018</v>
      </c>
      <c r="D719" s="54"/>
      <c r="E719" s="39" t="str">
        <f>HYPERLINK("https://www.google.ru/search?q=3025427-001&amp;newwindow=1&amp;tbm=isch","Еще фото")</f>
        <v>Еще фото</v>
      </c>
      <c r="F719" s="13"/>
      <c r="G719" s="24" t="s">
        <v>808</v>
      </c>
      <c r="H719" s="24" t="s">
        <v>593</v>
      </c>
      <c r="I719" s="24" t="s">
        <v>809</v>
      </c>
      <c r="J719" s="14" t="s">
        <v>29</v>
      </c>
      <c r="K719" s="15" t="s">
        <v>64</v>
      </c>
      <c r="L719" s="57"/>
      <c r="M719" s="14" t="s">
        <v>1020</v>
      </c>
      <c r="N719" s="14" t="s">
        <v>33</v>
      </c>
      <c r="O719" s="14"/>
      <c r="P719" s="15" t="s">
        <v>812</v>
      </c>
      <c r="Q719" s="16">
        <v>10499</v>
      </c>
      <c r="R719" s="17">
        <v>52.4</v>
      </c>
      <c r="S719" s="18">
        <v>5747.4355000000005</v>
      </c>
      <c r="T719" s="19" t="s">
        <v>36</v>
      </c>
      <c r="U719" s="20" t="s">
        <v>598</v>
      </c>
      <c r="V719" s="22">
        <v>37</v>
      </c>
      <c r="W719" s="22">
        <v>4</v>
      </c>
      <c r="X719" s="23"/>
    </row>
    <row r="720" spans="1:24" s="1" customFormat="1" ht="26.1" customHeight="1" x14ac:dyDescent="0.3">
      <c r="A720" s="24" t="s">
        <v>23</v>
      </c>
      <c r="B720" s="24" t="s">
        <v>1017</v>
      </c>
      <c r="C720" s="12" t="s">
        <v>1018</v>
      </c>
      <c r="D720" s="55"/>
      <c r="E720" s="39" t="str">
        <f>HYPERLINK("https://www.google.ru/search?q=3025427-001&amp;newwindow=1&amp;tbm=isch","Еще фото")</f>
        <v>Еще фото</v>
      </c>
      <c r="F720" s="13"/>
      <c r="G720" s="24" t="s">
        <v>808</v>
      </c>
      <c r="H720" s="24" t="s">
        <v>593</v>
      </c>
      <c r="I720" s="24" t="s">
        <v>809</v>
      </c>
      <c r="J720" s="14" t="s">
        <v>29</v>
      </c>
      <c r="K720" s="15" t="s">
        <v>64</v>
      </c>
      <c r="L720" s="58"/>
      <c r="M720" s="14" t="s">
        <v>1020</v>
      </c>
      <c r="N720" s="14" t="s">
        <v>33</v>
      </c>
      <c r="O720" s="14"/>
      <c r="P720" s="15" t="s">
        <v>812</v>
      </c>
      <c r="Q720" s="16">
        <v>10499</v>
      </c>
      <c r="R720" s="17">
        <v>52.4</v>
      </c>
      <c r="S720" s="18">
        <v>5747.4355000000005</v>
      </c>
      <c r="T720" s="19" t="s">
        <v>36</v>
      </c>
      <c r="U720" s="20" t="s">
        <v>599</v>
      </c>
      <c r="V720" s="28">
        <v>37.5</v>
      </c>
      <c r="W720" s="22">
        <v>1</v>
      </c>
      <c r="X720" s="23"/>
    </row>
    <row r="721" spans="1:24" s="1" customFormat="1" ht="35.1" customHeight="1" x14ac:dyDescent="0.3">
      <c r="A721" s="11" t="s">
        <v>23</v>
      </c>
      <c r="B721" s="11" t="s">
        <v>1021</v>
      </c>
      <c r="C721" s="12" t="s">
        <v>1022</v>
      </c>
      <c r="D721" s="53"/>
      <c r="E721" s="39" t="str">
        <f>HYPERLINK("https://www.google.ru/search?q=3024191-106&amp;newwindow=1&amp;tbm=isch","Еще фото")</f>
        <v>Еще фото</v>
      </c>
      <c r="F721" s="13"/>
      <c r="G721" s="11" t="s">
        <v>808</v>
      </c>
      <c r="H721" s="11" t="s">
        <v>593</v>
      </c>
      <c r="I721" s="14" t="s">
        <v>809</v>
      </c>
      <c r="J721" s="14" t="s">
        <v>29</v>
      </c>
      <c r="K721" s="15" t="s">
        <v>64</v>
      </c>
      <c r="L721" s="56" t="s">
        <v>1023</v>
      </c>
      <c r="M721" s="14" t="s">
        <v>959</v>
      </c>
      <c r="N721" s="14" t="s">
        <v>1024</v>
      </c>
      <c r="O721" s="14"/>
      <c r="P721" s="15" t="s">
        <v>1025</v>
      </c>
      <c r="Q721" s="16">
        <v>14999</v>
      </c>
      <c r="R721" s="17">
        <v>52.35</v>
      </c>
      <c r="S721" s="18">
        <v>8219.9354999999996</v>
      </c>
      <c r="T721" s="19" t="s">
        <v>36</v>
      </c>
      <c r="U721" s="20" t="s">
        <v>863</v>
      </c>
      <c r="V721" s="22">
        <v>35</v>
      </c>
      <c r="W721" s="22">
        <v>1</v>
      </c>
      <c r="X721" s="23"/>
    </row>
    <row r="722" spans="1:24" s="1" customFormat="1" ht="35.1" customHeight="1" x14ac:dyDescent="0.3">
      <c r="A722" s="24" t="s">
        <v>23</v>
      </c>
      <c r="B722" s="24" t="s">
        <v>1021</v>
      </c>
      <c r="C722" s="12" t="s">
        <v>1022</v>
      </c>
      <c r="D722" s="54"/>
      <c r="E722" s="39" t="str">
        <f>HYPERLINK("https://www.google.ru/search?q=3024191-106&amp;newwindow=1&amp;tbm=isch","Еще фото")</f>
        <v>Еще фото</v>
      </c>
      <c r="F722" s="13"/>
      <c r="G722" s="24" t="s">
        <v>808</v>
      </c>
      <c r="H722" s="24" t="s">
        <v>593</v>
      </c>
      <c r="I722" s="24" t="s">
        <v>809</v>
      </c>
      <c r="J722" s="14" t="s">
        <v>29</v>
      </c>
      <c r="K722" s="15" t="s">
        <v>64</v>
      </c>
      <c r="L722" s="57"/>
      <c r="M722" s="14" t="s">
        <v>959</v>
      </c>
      <c r="N722" s="14" t="s">
        <v>1024</v>
      </c>
      <c r="O722" s="14"/>
      <c r="P722" s="15" t="s">
        <v>1025</v>
      </c>
      <c r="Q722" s="16">
        <v>14999</v>
      </c>
      <c r="R722" s="17">
        <v>52.35</v>
      </c>
      <c r="S722" s="18">
        <v>8219.9354999999996</v>
      </c>
      <c r="T722" s="19" t="s">
        <v>36</v>
      </c>
      <c r="U722" s="20" t="s">
        <v>820</v>
      </c>
      <c r="V722" s="22">
        <v>36</v>
      </c>
      <c r="W722" s="22">
        <v>4</v>
      </c>
      <c r="X722" s="23"/>
    </row>
    <row r="723" spans="1:24" s="1" customFormat="1" ht="36.950000000000003" customHeight="1" x14ac:dyDescent="0.3">
      <c r="A723" s="24" t="s">
        <v>23</v>
      </c>
      <c r="B723" s="24" t="s">
        <v>1021</v>
      </c>
      <c r="C723" s="12" t="s">
        <v>1022</v>
      </c>
      <c r="D723" s="55"/>
      <c r="E723" s="39" t="str">
        <f>HYPERLINK("https://www.google.ru/search?q=3024191-106&amp;newwindow=1&amp;tbm=isch","Еще фото")</f>
        <v>Еще фото</v>
      </c>
      <c r="F723" s="13"/>
      <c r="G723" s="24" t="s">
        <v>808</v>
      </c>
      <c r="H723" s="24" t="s">
        <v>593</v>
      </c>
      <c r="I723" s="24" t="s">
        <v>809</v>
      </c>
      <c r="J723" s="14" t="s">
        <v>29</v>
      </c>
      <c r="K723" s="15" t="s">
        <v>64</v>
      </c>
      <c r="L723" s="58"/>
      <c r="M723" s="14" t="s">
        <v>959</v>
      </c>
      <c r="N723" s="14" t="s">
        <v>1024</v>
      </c>
      <c r="O723" s="14"/>
      <c r="P723" s="15" t="s">
        <v>1025</v>
      </c>
      <c r="Q723" s="16">
        <v>14999</v>
      </c>
      <c r="R723" s="17">
        <v>52.35</v>
      </c>
      <c r="S723" s="18">
        <v>8219.9354999999996</v>
      </c>
      <c r="T723" s="19" t="s">
        <v>36</v>
      </c>
      <c r="U723" s="20" t="s">
        <v>814</v>
      </c>
      <c r="V723" s="28">
        <v>36.5</v>
      </c>
      <c r="W723" s="22">
        <v>3</v>
      </c>
      <c r="X723" s="23"/>
    </row>
    <row r="724" spans="1:24" s="1" customFormat="1" ht="51.95" customHeight="1" x14ac:dyDescent="0.3">
      <c r="A724" s="11" t="s">
        <v>23</v>
      </c>
      <c r="B724" s="11" t="s">
        <v>1026</v>
      </c>
      <c r="C724" s="12" t="s">
        <v>1027</v>
      </c>
      <c r="D724" s="59"/>
      <c r="E724" s="39" t="str">
        <f>HYPERLINK("https://www.google.ru/search?q=3024191-302&amp;newwindow=1&amp;tbm=isch","Еще фото")</f>
        <v>Еще фото</v>
      </c>
      <c r="F724" s="13"/>
      <c r="G724" s="11" t="s">
        <v>808</v>
      </c>
      <c r="H724" s="11" t="s">
        <v>593</v>
      </c>
      <c r="I724" s="14" t="s">
        <v>809</v>
      </c>
      <c r="J724" s="14" t="s">
        <v>29</v>
      </c>
      <c r="K724" s="15" t="s">
        <v>64</v>
      </c>
      <c r="L724" s="56" t="s">
        <v>1023</v>
      </c>
      <c r="M724" s="14" t="s">
        <v>959</v>
      </c>
      <c r="N724" s="14" t="s">
        <v>1028</v>
      </c>
      <c r="O724" s="14"/>
      <c r="P724" s="15" t="s">
        <v>1025</v>
      </c>
      <c r="Q724" s="16">
        <v>14999</v>
      </c>
      <c r="R724" s="17">
        <v>52.35</v>
      </c>
      <c r="S724" s="18">
        <v>8219.9354999999996</v>
      </c>
      <c r="T724" s="19" t="s">
        <v>36</v>
      </c>
      <c r="U724" s="20" t="s">
        <v>863</v>
      </c>
      <c r="V724" s="22">
        <v>35</v>
      </c>
      <c r="W724" s="22">
        <v>2</v>
      </c>
      <c r="X724" s="23"/>
    </row>
    <row r="725" spans="1:24" s="1" customFormat="1" ht="60.95" customHeight="1" x14ac:dyDescent="0.3">
      <c r="A725" s="24" t="s">
        <v>23</v>
      </c>
      <c r="B725" s="24" t="s">
        <v>1026</v>
      </c>
      <c r="C725" s="12" t="s">
        <v>1027</v>
      </c>
      <c r="D725" s="60"/>
      <c r="E725" s="39" t="str">
        <f>HYPERLINK("https://www.google.ru/search?q=3024191-302&amp;newwindow=1&amp;tbm=isch","Еще фото")</f>
        <v>Еще фото</v>
      </c>
      <c r="F725" s="13"/>
      <c r="G725" s="24" t="s">
        <v>808</v>
      </c>
      <c r="H725" s="24" t="s">
        <v>593</v>
      </c>
      <c r="I725" s="24" t="s">
        <v>809</v>
      </c>
      <c r="J725" s="14" t="s">
        <v>29</v>
      </c>
      <c r="K725" s="15" t="s">
        <v>64</v>
      </c>
      <c r="L725" s="58"/>
      <c r="M725" s="14" t="s">
        <v>959</v>
      </c>
      <c r="N725" s="14" t="s">
        <v>1028</v>
      </c>
      <c r="O725" s="14"/>
      <c r="P725" s="15" t="s">
        <v>1025</v>
      </c>
      <c r="Q725" s="16">
        <v>14999</v>
      </c>
      <c r="R725" s="17">
        <v>52.35</v>
      </c>
      <c r="S725" s="18">
        <v>8219.9354999999996</v>
      </c>
      <c r="T725" s="19" t="s">
        <v>36</v>
      </c>
      <c r="U725" s="20" t="s">
        <v>820</v>
      </c>
      <c r="V725" s="22">
        <v>36</v>
      </c>
      <c r="W725" s="22">
        <v>3</v>
      </c>
      <c r="X725" s="23"/>
    </row>
    <row r="726" spans="1:24" s="1" customFormat="1" ht="51.95" customHeight="1" x14ac:dyDescent="0.3">
      <c r="A726" s="11" t="s">
        <v>23</v>
      </c>
      <c r="B726" s="11" t="s">
        <v>1029</v>
      </c>
      <c r="C726" s="12" t="s">
        <v>1030</v>
      </c>
      <c r="D726" s="59"/>
      <c r="E726" s="39" t="str">
        <f>HYPERLINK("https://www.google.ru/search?q=1295755-001&amp;newwindow=1&amp;tbm=isch","Еще фото")</f>
        <v>Еще фото</v>
      </c>
      <c r="F726" s="13"/>
      <c r="G726" s="11" t="s">
        <v>808</v>
      </c>
      <c r="H726" s="11" t="s">
        <v>593</v>
      </c>
      <c r="I726" s="14" t="s">
        <v>809</v>
      </c>
      <c r="J726" s="14" t="s">
        <v>29</v>
      </c>
      <c r="K726" s="15" t="s">
        <v>64</v>
      </c>
      <c r="L726" s="56" t="s">
        <v>1031</v>
      </c>
      <c r="M726" s="14" t="s">
        <v>49</v>
      </c>
      <c r="N726" s="14" t="s">
        <v>33</v>
      </c>
      <c r="O726" s="14" t="s">
        <v>34</v>
      </c>
      <c r="P726" s="15" t="s">
        <v>1032</v>
      </c>
      <c r="Q726" s="16">
        <v>8899</v>
      </c>
      <c r="R726" s="17">
        <v>49.79</v>
      </c>
      <c r="S726" s="18">
        <v>5137.9355000000005</v>
      </c>
      <c r="T726" s="19" t="s">
        <v>36</v>
      </c>
      <c r="U726" s="20" t="s">
        <v>863</v>
      </c>
      <c r="V726" s="22">
        <v>35</v>
      </c>
      <c r="W726" s="22">
        <v>2</v>
      </c>
      <c r="X726" s="23"/>
    </row>
    <row r="727" spans="1:24" s="1" customFormat="1" ht="60.95" customHeight="1" x14ac:dyDescent="0.3">
      <c r="A727" s="24" t="s">
        <v>23</v>
      </c>
      <c r="B727" s="24" t="s">
        <v>1029</v>
      </c>
      <c r="C727" s="12" t="s">
        <v>1030</v>
      </c>
      <c r="D727" s="60"/>
      <c r="E727" s="39" t="str">
        <f>HYPERLINK("https://www.google.ru/search?q=1295755-001&amp;newwindow=1&amp;tbm=isch","Еще фото")</f>
        <v>Еще фото</v>
      </c>
      <c r="F727" s="13"/>
      <c r="G727" s="24" t="s">
        <v>808</v>
      </c>
      <c r="H727" s="24" t="s">
        <v>593</v>
      </c>
      <c r="I727" s="24" t="s">
        <v>809</v>
      </c>
      <c r="J727" s="14" t="s">
        <v>29</v>
      </c>
      <c r="K727" s="15" t="s">
        <v>64</v>
      </c>
      <c r="L727" s="58"/>
      <c r="M727" s="14" t="s">
        <v>49</v>
      </c>
      <c r="N727" s="14" t="s">
        <v>33</v>
      </c>
      <c r="O727" s="14" t="s">
        <v>34</v>
      </c>
      <c r="P727" s="15" t="s">
        <v>1032</v>
      </c>
      <c r="Q727" s="16">
        <v>8899</v>
      </c>
      <c r="R727" s="17">
        <v>49.79</v>
      </c>
      <c r="S727" s="18">
        <v>5137.9355000000005</v>
      </c>
      <c r="T727" s="19" t="s">
        <v>36</v>
      </c>
      <c r="U727" s="20" t="s">
        <v>814</v>
      </c>
      <c r="V727" s="28">
        <v>36.5</v>
      </c>
      <c r="W727" s="22">
        <v>1</v>
      </c>
      <c r="X727" s="23"/>
    </row>
    <row r="728" spans="1:24" s="1" customFormat="1" ht="26.1" customHeight="1" x14ac:dyDescent="0.3">
      <c r="A728" s="11" t="s">
        <v>23</v>
      </c>
      <c r="B728" s="11" t="s">
        <v>867</v>
      </c>
      <c r="C728" s="12" t="s">
        <v>1033</v>
      </c>
      <c r="D728" s="53"/>
      <c r="E728" s="39" t="str">
        <f>HYPERLINK("https://www.google.ru/search?q=3027524-323&amp;newwindow=1&amp;tbm=isch","Еще фото")</f>
        <v>Еще фото</v>
      </c>
      <c r="F728" s="13"/>
      <c r="G728" s="11" t="s">
        <v>808</v>
      </c>
      <c r="H728" s="11" t="s">
        <v>593</v>
      </c>
      <c r="I728" s="14" t="s">
        <v>809</v>
      </c>
      <c r="J728" s="14" t="s">
        <v>29</v>
      </c>
      <c r="K728" s="15" t="s">
        <v>64</v>
      </c>
      <c r="L728" s="56" t="s">
        <v>869</v>
      </c>
      <c r="M728" s="14"/>
      <c r="N728" s="14" t="s">
        <v>125</v>
      </c>
      <c r="O728" s="14"/>
      <c r="P728" s="15" t="s">
        <v>870</v>
      </c>
      <c r="Q728" s="16">
        <v>12999</v>
      </c>
      <c r="R728" s="17">
        <v>49.78</v>
      </c>
      <c r="S728" s="18">
        <v>7506.9354999999996</v>
      </c>
      <c r="T728" s="19" t="s">
        <v>36</v>
      </c>
      <c r="U728" s="20" t="s">
        <v>813</v>
      </c>
      <c r="V728" s="28">
        <v>35.5</v>
      </c>
      <c r="W728" s="22">
        <v>1</v>
      </c>
      <c r="X728" s="23"/>
    </row>
    <row r="729" spans="1:24" s="1" customFormat="1" ht="26.1" customHeight="1" x14ac:dyDescent="0.3">
      <c r="A729" s="24" t="s">
        <v>23</v>
      </c>
      <c r="B729" s="24" t="s">
        <v>867</v>
      </c>
      <c r="C729" s="12" t="s">
        <v>1033</v>
      </c>
      <c r="D729" s="54"/>
      <c r="E729" s="39" t="str">
        <f>HYPERLINK("https://www.google.ru/search?q=3027524-323&amp;newwindow=1&amp;tbm=isch","Еще фото")</f>
        <v>Еще фото</v>
      </c>
      <c r="F729" s="13"/>
      <c r="G729" s="24" t="s">
        <v>808</v>
      </c>
      <c r="H729" s="24" t="s">
        <v>593</v>
      </c>
      <c r="I729" s="24" t="s">
        <v>809</v>
      </c>
      <c r="J729" s="14" t="s">
        <v>29</v>
      </c>
      <c r="K729" s="15" t="s">
        <v>64</v>
      </c>
      <c r="L729" s="57"/>
      <c r="M729" s="14"/>
      <c r="N729" s="14" t="s">
        <v>125</v>
      </c>
      <c r="O729" s="14"/>
      <c r="P729" s="15" t="s">
        <v>870</v>
      </c>
      <c r="Q729" s="16">
        <v>12999</v>
      </c>
      <c r="R729" s="17">
        <v>49.78</v>
      </c>
      <c r="S729" s="18">
        <v>7506.9354999999996</v>
      </c>
      <c r="T729" s="19" t="s">
        <v>36</v>
      </c>
      <c r="U729" s="20" t="s">
        <v>814</v>
      </c>
      <c r="V729" s="28">
        <v>36.5</v>
      </c>
      <c r="W729" s="22">
        <v>1</v>
      </c>
      <c r="X729" s="23"/>
    </row>
    <row r="730" spans="1:24" s="1" customFormat="1" ht="26.1" customHeight="1" x14ac:dyDescent="0.3">
      <c r="A730" s="24" t="s">
        <v>23</v>
      </c>
      <c r="B730" s="24" t="s">
        <v>867</v>
      </c>
      <c r="C730" s="12" t="s">
        <v>1033</v>
      </c>
      <c r="D730" s="54"/>
      <c r="E730" s="39" t="str">
        <f>HYPERLINK("https://www.google.ru/search?q=3027524-323&amp;newwindow=1&amp;tbm=isch","Еще фото")</f>
        <v>Еще фото</v>
      </c>
      <c r="F730" s="13"/>
      <c r="G730" s="24" t="s">
        <v>808</v>
      </c>
      <c r="H730" s="24" t="s">
        <v>593</v>
      </c>
      <c r="I730" s="24" t="s">
        <v>809</v>
      </c>
      <c r="J730" s="14" t="s">
        <v>29</v>
      </c>
      <c r="K730" s="15" t="s">
        <v>64</v>
      </c>
      <c r="L730" s="57"/>
      <c r="M730" s="14"/>
      <c r="N730" s="14" t="s">
        <v>125</v>
      </c>
      <c r="O730" s="14"/>
      <c r="P730" s="15" t="s">
        <v>870</v>
      </c>
      <c r="Q730" s="16">
        <v>12999</v>
      </c>
      <c r="R730" s="17">
        <v>49.78</v>
      </c>
      <c r="S730" s="18">
        <v>7506.9354999999996</v>
      </c>
      <c r="T730" s="19" t="s">
        <v>36</v>
      </c>
      <c r="U730" s="20" t="s">
        <v>599</v>
      </c>
      <c r="V730" s="28">
        <v>37.5</v>
      </c>
      <c r="W730" s="22">
        <v>4</v>
      </c>
      <c r="X730" s="23"/>
    </row>
    <row r="731" spans="1:24" s="1" customFormat="1" ht="26.1" customHeight="1" x14ac:dyDescent="0.3">
      <c r="A731" s="24" t="s">
        <v>23</v>
      </c>
      <c r="B731" s="24" t="s">
        <v>867</v>
      </c>
      <c r="C731" s="12" t="s">
        <v>1033</v>
      </c>
      <c r="D731" s="55"/>
      <c r="E731" s="39" t="str">
        <f>HYPERLINK("https://www.google.ru/search?q=3027524-323&amp;newwindow=1&amp;tbm=isch","Еще фото")</f>
        <v>Еще фото</v>
      </c>
      <c r="F731" s="13"/>
      <c r="G731" s="24" t="s">
        <v>808</v>
      </c>
      <c r="H731" s="24" t="s">
        <v>593</v>
      </c>
      <c r="I731" s="24" t="s">
        <v>809</v>
      </c>
      <c r="J731" s="14" t="s">
        <v>29</v>
      </c>
      <c r="K731" s="15" t="s">
        <v>64</v>
      </c>
      <c r="L731" s="58"/>
      <c r="M731" s="14"/>
      <c r="N731" s="14" t="s">
        <v>125</v>
      </c>
      <c r="O731" s="14"/>
      <c r="P731" s="15" t="s">
        <v>870</v>
      </c>
      <c r="Q731" s="16">
        <v>12999</v>
      </c>
      <c r="R731" s="17">
        <v>49.78</v>
      </c>
      <c r="S731" s="18">
        <v>7506.9354999999996</v>
      </c>
      <c r="T731" s="19" t="s">
        <v>36</v>
      </c>
      <c r="U731" s="20" t="s">
        <v>600</v>
      </c>
      <c r="V731" s="22">
        <v>38</v>
      </c>
      <c r="W731" s="22">
        <v>1</v>
      </c>
      <c r="X731" s="23"/>
    </row>
    <row r="732" spans="1:24" s="1" customFormat="1" ht="21" customHeight="1" x14ac:dyDescent="0.3">
      <c r="A732" s="11" t="s">
        <v>23</v>
      </c>
      <c r="B732" s="11" t="s">
        <v>1034</v>
      </c>
      <c r="C732" s="26" t="s">
        <v>1035</v>
      </c>
      <c r="D732" s="53"/>
      <c r="E732" s="39" t="str">
        <f>HYPERLINK("https://www.google.ru/search?q=3027600-001&amp;newwindow=1&amp;tbm=isch","Еще фото")</f>
        <v>Еще фото</v>
      </c>
      <c r="F732" s="13"/>
      <c r="G732" s="11" t="s">
        <v>808</v>
      </c>
      <c r="H732" s="11" t="s">
        <v>593</v>
      </c>
      <c r="I732" s="14" t="s">
        <v>809</v>
      </c>
      <c r="J732" s="14" t="s">
        <v>29</v>
      </c>
      <c r="K732" s="15" t="s">
        <v>30</v>
      </c>
      <c r="L732" s="56" t="s">
        <v>1036</v>
      </c>
      <c r="M732" s="14"/>
      <c r="N732" s="14" t="s">
        <v>33</v>
      </c>
      <c r="O732" s="14"/>
      <c r="P732" s="15" t="s">
        <v>1037</v>
      </c>
      <c r="Q732" s="16">
        <v>25699</v>
      </c>
      <c r="R732" s="17">
        <v>49.77</v>
      </c>
      <c r="S732" s="18">
        <v>14843.9355</v>
      </c>
      <c r="T732" s="19" t="s">
        <v>36</v>
      </c>
      <c r="U732" s="20" t="s">
        <v>598</v>
      </c>
      <c r="V732" s="22">
        <v>39</v>
      </c>
      <c r="W732" s="22">
        <v>1</v>
      </c>
      <c r="X732" s="23"/>
    </row>
    <row r="733" spans="1:24" s="1" customFormat="1" ht="21" customHeight="1" x14ac:dyDescent="0.3">
      <c r="A733" s="24" t="s">
        <v>23</v>
      </c>
      <c r="B733" s="24" t="s">
        <v>1034</v>
      </c>
      <c r="C733" s="27" t="s">
        <v>1035</v>
      </c>
      <c r="D733" s="54"/>
      <c r="E733" s="39" t="str">
        <f>HYPERLINK("https://www.google.ru/search?q=3027600-001&amp;newwindow=1&amp;tbm=isch","Еще фото")</f>
        <v>Еще фото</v>
      </c>
      <c r="F733" s="13"/>
      <c r="G733" s="24" t="s">
        <v>808</v>
      </c>
      <c r="H733" s="24" t="s">
        <v>593</v>
      </c>
      <c r="I733" s="24" t="s">
        <v>809</v>
      </c>
      <c r="J733" s="14" t="s">
        <v>29</v>
      </c>
      <c r="K733" s="15" t="s">
        <v>30</v>
      </c>
      <c r="L733" s="57"/>
      <c r="M733" s="14"/>
      <c r="N733" s="14" t="s">
        <v>33</v>
      </c>
      <c r="O733" s="14"/>
      <c r="P733" s="15" t="s">
        <v>1037</v>
      </c>
      <c r="Q733" s="16">
        <v>25699</v>
      </c>
      <c r="R733" s="17">
        <v>49.77</v>
      </c>
      <c r="S733" s="18">
        <v>14843.9355</v>
      </c>
      <c r="T733" s="19" t="s">
        <v>36</v>
      </c>
      <c r="U733" s="20" t="s">
        <v>599</v>
      </c>
      <c r="V733" s="28">
        <v>39.5</v>
      </c>
      <c r="W733" s="22">
        <v>8</v>
      </c>
      <c r="X733" s="23"/>
    </row>
    <row r="734" spans="1:24" s="1" customFormat="1" ht="21" customHeight="1" x14ac:dyDescent="0.3">
      <c r="A734" s="24" t="s">
        <v>23</v>
      </c>
      <c r="B734" s="24" t="s">
        <v>1034</v>
      </c>
      <c r="C734" s="27" t="s">
        <v>1035</v>
      </c>
      <c r="D734" s="54"/>
      <c r="E734" s="39" t="str">
        <f>HYPERLINK("https://www.google.ru/search?q=3027600-001&amp;newwindow=1&amp;tbm=isch","Еще фото")</f>
        <v>Еще фото</v>
      </c>
      <c r="F734" s="13"/>
      <c r="G734" s="24" t="s">
        <v>808</v>
      </c>
      <c r="H734" s="24" t="s">
        <v>593</v>
      </c>
      <c r="I734" s="24" t="s">
        <v>809</v>
      </c>
      <c r="J734" s="14" t="s">
        <v>29</v>
      </c>
      <c r="K734" s="15" t="s">
        <v>30</v>
      </c>
      <c r="L734" s="57"/>
      <c r="M734" s="14"/>
      <c r="N734" s="14" t="s">
        <v>33</v>
      </c>
      <c r="O734" s="14"/>
      <c r="P734" s="15" t="s">
        <v>1037</v>
      </c>
      <c r="Q734" s="16">
        <v>25699</v>
      </c>
      <c r="R734" s="17">
        <v>49.77</v>
      </c>
      <c r="S734" s="18">
        <v>14843.9355</v>
      </c>
      <c r="T734" s="19" t="s">
        <v>36</v>
      </c>
      <c r="U734" s="20" t="s">
        <v>600</v>
      </c>
      <c r="V734" s="22">
        <v>40</v>
      </c>
      <c r="W734" s="22">
        <v>2</v>
      </c>
      <c r="X734" s="23"/>
    </row>
    <row r="735" spans="1:24" s="1" customFormat="1" ht="21" customHeight="1" x14ac:dyDescent="0.3">
      <c r="A735" s="24" t="s">
        <v>23</v>
      </c>
      <c r="B735" s="24" t="s">
        <v>1034</v>
      </c>
      <c r="C735" s="27" t="s">
        <v>1035</v>
      </c>
      <c r="D735" s="54"/>
      <c r="E735" s="39" t="str">
        <f>HYPERLINK("https://www.google.ru/search?q=3027600-001&amp;newwindow=1&amp;tbm=isch","Еще фото")</f>
        <v>Еще фото</v>
      </c>
      <c r="F735" s="13"/>
      <c r="G735" s="24" t="s">
        <v>808</v>
      </c>
      <c r="H735" s="24" t="s">
        <v>593</v>
      </c>
      <c r="I735" s="24" t="s">
        <v>809</v>
      </c>
      <c r="J735" s="14" t="s">
        <v>29</v>
      </c>
      <c r="K735" s="15" t="s">
        <v>30</v>
      </c>
      <c r="L735" s="57"/>
      <c r="M735" s="14"/>
      <c r="N735" s="14" t="s">
        <v>33</v>
      </c>
      <c r="O735" s="14"/>
      <c r="P735" s="15" t="s">
        <v>1037</v>
      </c>
      <c r="Q735" s="16">
        <v>25699</v>
      </c>
      <c r="R735" s="17">
        <v>49.77</v>
      </c>
      <c r="S735" s="18">
        <v>14843.9355</v>
      </c>
      <c r="T735" s="19" t="s">
        <v>36</v>
      </c>
      <c r="U735" s="20" t="s">
        <v>601</v>
      </c>
      <c r="V735" s="22">
        <v>41</v>
      </c>
      <c r="W735" s="22">
        <v>12</v>
      </c>
      <c r="X735" s="23"/>
    </row>
    <row r="736" spans="1:24" s="1" customFormat="1" ht="32.1" customHeight="1" x14ac:dyDescent="0.3">
      <c r="A736" s="24" t="s">
        <v>23</v>
      </c>
      <c r="B736" s="24" t="s">
        <v>1034</v>
      </c>
      <c r="C736" s="27" t="s">
        <v>1035</v>
      </c>
      <c r="D736" s="55"/>
      <c r="E736" s="39" t="str">
        <f>HYPERLINK("https://www.google.ru/search?q=3027600-001&amp;newwindow=1&amp;tbm=isch","Еще фото")</f>
        <v>Еще фото</v>
      </c>
      <c r="F736" s="13"/>
      <c r="G736" s="24" t="s">
        <v>808</v>
      </c>
      <c r="H736" s="24" t="s">
        <v>593</v>
      </c>
      <c r="I736" s="24" t="s">
        <v>809</v>
      </c>
      <c r="J736" s="14" t="s">
        <v>29</v>
      </c>
      <c r="K736" s="15" t="s">
        <v>30</v>
      </c>
      <c r="L736" s="58"/>
      <c r="M736" s="14"/>
      <c r="N736" s="14" t="s">
        <v>33</v>
      </c>
      <c r="O736" s="14"/>
      <c r="P736" s="15" t="s">
        <v>1037</v>
      </c>
      <c r="Q736" s="16">
        <v>25699</v>
      </c>
      <c r="R736" s="17">
        <v>49.77</v>
      </c>
      <c r="S736" s="18">
        <v>14843.9355</v>
      </c>
      <c r="T736" s="19" t="s">
        <v>36</v>
      </c>
      <c r="U736" s="20" t="s">
        <v>602</v>
      </c>
      <c r="V736" s="28">
        <v>41.5</v>
      </c>
      <c r="W736" s="22">
        <v>5</v>
      </c>
      <c r="X736" s="23"/>
    </row>
    <row r="737" spans="1:24" s="1" customFormat="1" ht="35.1" customHeight="1" x14ac:dyDescent="0.3">
      <c r="A737" s="11" t="s">
        <v>23</v>
      </c>
      <c r="B737" s="11" t="s">
        <v>895</v>
      </c>
      <c r="C737" s="12" t="s">
        <v>1038</v>
      </c>
      <c r="D737" s="53"/>
      <c r="E737" s="39" t="str">
        <f>HYPERLINK("https://www.google.ru/search?q=3027005-002&amp;newwindow=1&amp;tbm=isch","Еще фото")</f>
        <v>Еще фото</v>
      </c>
      <c r="F737" s="13" t="s">
        <v>98</v>
      </c>
      <c r="G737" s="11" t="s">
        <v>808</v>
      </c>
      <c r="H737" s="11" t="s">
        <v>593</v>
      </c>
      <c r="I737" s="14" t="s">
        <v>809</v>
      </c>
      <c r="J737" s="14" t="s">
        <v>29</v>
      </c>
      <c r="K737" s="15" t="s">
        <v>64</v>
      </c>
      <c r="L737" s="56" t="s">
        <v>897</v>
      </c>
      <c r="M737" s="14"/>
      <c r="N737" s="14" t="s">
        <v>33</v>
      </c>
      <c r="O737" s="14"/>
      <c r="P737" s="15" t="s">
        <v>1039</v>
      </c>
      <c r="Q737" s="16">
        <v>11099</v>
      </c>
      <c r="R737" s="17">
        <v>49.75</v>
      </c>
      <c r="S737" s="18">
        <v>6414.4354999999996</v>
      </c>
      <c r="T737" s="19" t="s">
        <v>36</v>
      </c>
      <c r="U737" s="20" t="s">
        <v>814</v>
      </c>
      <c r="V737" s="28">
        <v>36.5</v>
      </c>
      <c r="W737" s="22">
        <v>2</v>
      </c>
      <c r="X737" s="23"/>
    </row>
    <row r="738" spans="1:24" s="1" customFormat="1" ht="35.1" customHeight="1" x14ac:dyDescent="0.3">
      <c r="A738" s="24" t="s">
        <v>23</v>
      </c>
      <c r="B738" s="24" t="s">
        <v>895</v>
      </c>
      <c r="C738" s="12" t="s">
        <v>1038</v>
      </c>
      <c r="D738" s="54"/>
      <c r="E738" s="39" t="str">
        <f>HYPERLINK("https://www.google.ru/search?q=3027005-002&amp;newwindow=1&amp;tbm=isch","Еще фото")</f>
        <v>Еще фото</v>
      </c>
      <c r="F738" s="13" t="s">
        <v>98</v>
      </c>
      <c r="G738" s="24" t="s">
        <v>808</v>
      </c>
      <c r="H738" s="24" t="s">
        <v>593</v>
      </c>
      <c r="I738" s="24" t="s">
        <v>809</v>
      </c>
      <c r="J738" s="14" t="s">
        <v>29</v>
      </c>
      <c r="K738" s="15" t="s">
        <v>64</v>
      </c>
      <c r="L738" s="57"/>
      <c r="M738" s="14"/>
      <c r="N738" s="14" t="s">
        <v>33</v>
      </c>
      <c r="O738" s="14"/>
      <c r="P738" s="15" t="s">
        <v>1039</v>
      </c>
      <c r="Q738" s="16">
        <v>11099</v>
      </c>
      <c r="R738" s="17">
        <v>49.75</v>
      </c>
      <c r="S738" s="18">
        <v>6414.4354999999996</v>
      </c>
      <c r="T738" s="19" t="s">
        <v>36</v>
      </c>
      <c r="U738" s="20" t="s">
        <v>598</v>
      </c>
      <c r="V738" s="22">
        <v>37</v>
      </c>
      <c r="W738" s="22">
        <v>1</v>
      </c>
      <c r="X738" s="23"/>
    </row>
    <row r="739" spans="1:24" s="1" customFormat="1" ht="36.950000000000003" customHeight="1" x14ac:dyDescent="0.3">
      <c r="A739" s="24" t="s">
        <v>23</v>
      </c>
      <c r="B739" s="24" t="s">
        <v>895</v>
      </c>
      <c r="C739" s="12" t="s">
        <v>1038</v>
      </c>
      <c r="D739" s="55"/>
      <c r="E739" s="39" t="str">
        <f>HYPERLINK("https://www.google.ru/search?q=3027005-002&amp;newwindow=1&amp;tbm=isch","Еще фото")</f>
        <v>Еще фото</v>
      </c>
      <c r="F739" s="13" t="s">
        <v>98</v>
      </c>
      <c r="G739" s="24" t="s">
        <v>808</v>
      </c>
      <c r="H739" s="24" t="s">
        <v>593</v>
      </c>
      <c r="I739" s="24" t="s">
        <v>809</v>
      </c>
      <c r="J739" s="14" t="s">
        <v>29</v>
      </c>
      <c r="K739" s="15" t="s">
        <v>64</v>
      </c>
      <c r="L739" s="58"/>
      <c r="M739" s="14"/>
      <c r="N739" s="14" t="s">
        <v>33</v>
      </c>
      <c r="O739" s="14"/>
      <c r="P739" s="15" t="s">
        <v>1039</v>
      </c>
      <c r="Q739" s="16">
        <v>11099</v>
      </c>
      <c r="R739" s="17">
        <v>49.75</v>
      </c>
      <c r="S739" s="18">
        <v>6414.4354999999996</v>
      </c>
      <c r="T739" s="19" t="s">
        <v>36</v>
      </c>
      <c r="U739" s="20" t="s">
        <v>599</v>
      </c>
      <c r="V739" s="28">
        <v>37.5</v>
      </c>
      <c r="W739" s="22">
        <v>2</v>
      </c>
      <c r="X739" s="23"/>
    </row>
    <row r="740" spans="1:24" s="1" customFormat="1" ht="108" customHeight="1" x14ac:dyDescent="0.3">
      <c r="A740" s="11" t="s">
        <v>23</v>
      </c>
      <c r="B740" s="11" t="s">
        <v>1040</v>
      </c>
      <c r="C740" s="12" t="s">
        <v>1041</v>
      </c>
      <c r="D740" s="25"/>
      <c r="E740" s="39" t="str">
        <f>HYPERLINK("https://www.google.ru/search?q=3025238-348&amp;newwindow=1&amp;tbm=isch","Еще фото")</f>
        <v>Еще фото</v>
      </c>
      <c r="F740" s="13"/>
      <c r="G740" s="11" t="s">
        <v>808</v>
      </c>
      <c r="H740" s="11" t="s">
        <v>593</v>
      </c>
      <c r="I740" s="14" t="s">
        <v>809</v>
      </c>
      <c r="J740" s="14" t="s">
        <v>29</v>
      </c>
      <c r="K740" s="15" t="s">
        <v>64</v>
      </c>
      <c r="L740" s="14" t="s">
        <v>1042</v>
      </c>
      <c r="M740" s="14"/>
      <c r="N740" s="14" t="s">
        <v>125</v>
      </c>
      <c r="O740" s="14"/>
      <c r="P740" s="15" t="s">
        <v>1043</v>
      </c>
      <c r="Q740" s="16">
        <v>8999</v>
      </c>
      <c r="R740" s="17">
        <v>49.35</v>
      </c>
      <c r="S740" s="18">
        <v>5241.4355000000005</v>
      </c>
      <c r="T740" s="19" t="s">
        <v>36</v>
      </c>
      <c r="U740" s="20" t="s">
        <v>820</v>
      </c>
      <c r="V740" s="22">
        <v>36</v>
      </c>
      <c r="W740" s="22">
        <v>5</v>
      </c>
      <c r="X740" s="23"/>
    </row>
    <row r="741" spans="1:24" s="1" customFormat="1" ht="51.95" customHeight="1" x14ac:dyDescent="0.3">
      <c r="A741" s="11" t="s">
        <v>23</v>
      </c>
      <c r="B741" s="11" t="s">
        <v>1044</v>
      </c>
      <c r="C741" s="12" t="s">
        <v>1045</v>
      </c>
      <c r="D741" s="59"/>
      <c r="E741" s="39" t="str">
        <f>HYPERLINK("https://www.google.ru/search?q=3025522-101&amp;newwindow=1&amp;tbm=isch","Еще фото")</f>
        <v>Еще фото</v>
      </c>
      <c r="F741" s="13"/>
      <c r="G741" s="11" t="s">
        <v>808</v>
      </c>
      <c r="H741" s="11" t="s">
        <v>593</v>
      </c>
      <c r="I741" s="14" t="s">
        <v>809</v>
      </c>
      <c r="J741" s="14" t="s">
        <v>29</v>
      </c>
      <c r="K741" s="15" t="s">
        <v>578</v>
      </c>
      <c r="L741" s="56" t="s">
        <v>1046</v>
      </c>
      <c r="M741" s="14" t="s">
        <v>836</v>
      </c>
      <c r="N741" s="14" t="s">
        <v>84</v>
      </c>
      <c r="O741" s="14"/>
      <c r="P741" s="15" t="s">
        <v>1005</v>
      </c>
      <c r="Q741" s="16">
        <v>26999</v>
      </c>
      <c r="R741" s="17">
        <v>49.01</v>
      </c>
      <c r="S741" s="18">
        <v>15832.9355</v>
      </c>
      <c r="T741" s="19" t="s">
        <v>36</v>
      </c>
      <c r="U741" s="20" t="s">
        <v>604</v>
      </c>
      <c r="V741" s="22">
        <v>43</v>
      </c>
      <c r="W741" s="22">
        <v>6</v>
      </c>
      <c r="X741" s="23"/>
    </row>
    <row r="742" spans="1:24" s="1" customFormat="1" ht="60.95" customHeight="1" x14ac:dyDescent="0.3">
      <c r="A742" s="24" t="s">
        <v>23</v>
      </c>
      <c r="B742" s="24" t="s">
        <v>1044</v>
      </c>
      <c r="C742" s="12" t="s">
        <v>1045</v>
      </c>
      <c r="D742" s="60"/>
      <c r="E742" s="39" t="str">
        <f>HYPERLINK("https://www.google.ru/search?q=3025522-101&amp;newwindow=1&amp;tbm=isch","Еще фото")</f>
        <v>Еще фото</v>
      </c>
      <c r="F742" s="13"/>
      <c r="G742" s="24" t="s">
        <v>808</v>
      </c>
      <c r="H742" s="24" t="s">
        <v>593</v>
      </c>
      <c r="I742" s="24" t="s">
        <v>809</v>
      </c>
      <c r="J742" s="14" t="s">
        <v>29</v>
      </c>
      <c r="K742" s="15" t="s">
        <v>578</v>
      </c>
      <c r="L742" s="58"/>
      <c r="M742" s="14" t="s">
        <v>836</v>
      </c>
      <c r="N742" s="14" t="s">
        <v>84</v>
      </c>
      <c r="O742" s="14"/>
      <c r="P742" s="15" t="s">
        <v>1005</v>
      </c>
      <c r="Q742" s="16">
        <v>26999</v>
      </c>
      <c r="R742" s="17">
        <v>49.01</v>
      </c>
      <c r="S742" s="18">
        <v>15832.9355</v>
      </c>
      <c r="T742" s="19" t="s">
        <v>36</v>
      </c>
      <c r="U742" s="20" t="s">
        <v>605</v>
      </c>
      <c r="V742" s="28">
        <v>43.5</v>
      </c>
      <c r="W742" s="22">
        <v>1</v>
      </c>
      <c r="X742" s="23"/>
    </row>
    <row r="743" spans="1:24" s="1" customFormat="1" ht="26.1" customHeight="1" x14ac:dyDescent="0.3">
      <c r="A743" s="11" t="s">
        <v>23</v>
      </c>
      <c r="B743" s="11" t="s">
        <v>1047</v>
      </c>
      <c r="C743" s="12" t="s">
        <v>1048</v>
      </c>
      <c r="D743" s="53"/>
      <c r="E743" s="39" t="str">
        <f>HYPERLINK("https://www.google.ru/search?q=3024877-105&amp;newwindow=1&amp;tbm=isch","Еще фото")</f>
        <v>Еще фото</v>
      </c>
      <c r="F743" s="13"/>
      <c r="G743" s="11" t="s">
        <v>808</v>
      </c>
      <c r="H743" s="11" t="s">
        <v>593</v>
      </c>
      <c r="I743" s="14" t="s">
        <v>809</v>
      </c>
      <c r="J743" s="14" t="s">
        <v>29</v>
      </c>
      <c r="K743" s="15" t="s">
        <v>30</v>
      </c>
      <c r="L743" s="56" t="s">
        <v>989</v>
      </c>
      <c r="M743" s="14" t="s">
        <v>811</v>
      </c>
      <c r="N743" s="14" t="s">
        <v>33</v>
      </c>
      <c r="O743" s="14"/>
      <c r="P743" s="15" t="s">
        <v>1049</v>
      </c>
      <c r="Q743" s="16">
        <v>10899</v>
      </c>
      <c r="R743" s="17">
        <v>48.91</v>
      </c>
      <c r="S743" s="18">
        <v>6402.9354999999996</v>
      </c>
      <c r="T743" s="19" t="s">
        <v>36</v>
      </c>
      <c r="U743" s="20" t="s">
        <v>598</v>
      </c>
      <c r="V743" s="22">
        <v>39</v>
      </c>
      <c r="W743" s="22">
        <v>11</v>
      </c>
      <c r="X743" s="23"/>
    </row>
    <row r="744" spans="1:24" s="1" customFormat="1" ht="26.1" customHeight="1" x14ac:dyDescent="0.3">
      <c r="A744" s="24" t="s">
        <v>23</v>
      </c>
      <c r="B744" s="24" t="s">
        <v>1047</v>
      </c>
      <c r="C744" s="12" t="s">
        <v>1048</v>
      </c>
      <c r="D744" s="54"/>
      <c r="E744" s="39" t="str">
        <f>HYPERLINK("https://www.google.ru/search?q=3024877-105&amp;newwindow=1&amp;tbm=isch","Еще фото")</f>
        <v>Еще фото</v>
      </c>
      <c r="F744" s="13"/>
      <c r="G744" s="24" t="s">
        <v>808</v>
      </c>
      <c r="H744" s="24" t="s">
        <v>593</v>
      </c>
      <c r="I744" s="24" t="s">
        <v>809</v>
      </c>
      <c r="J744" s="14" t="s">
        <v>29</v>
      </c>
      <c r="K744" s="15" t="s">
        <v>30</v>
      </c>
      <c r="L744" s="57"/>
      <c r="M744" s="14" t="s">
        <v>811</v>
      </c>
      <c r="N744" s="14" t="s">
        <v>33</v>
      </c>
      <c r="O744" s="14"/>
      <c r="P744" s="15" t="s">
        <v>1049</v>
      </c>
      <c r="Q744" s="16">
        <v>10899</v>
      </c>
      <c r="R744" s="17">
        <v>48.91</v>
      </c>
      <c r="S744" s="18">
        <v>6402.9354999999996</v>
      </c>
      <c r="T744" s="19" t="s">
        <v>36</v>
      </c>
      <c r="U744" s="20" t="s">
        <v>599</v>
      </c>
      <c r="V744" s="28">
        <v>39.5</v>
      </c>
      <c r="W744" s="22">
        <v>6</v>
      </c>
      <c r="X744" s="23"/>
    </row>
    <row r="745" spans="1:24" s="1" customFormat="1" ht="26.1" customHeight="1" x14ac:dyDescent="0.3">
      <c r="A745" s="24" t="s">
        <v>23</v>
      </c>
      <c r="B745" s="24" t="s">
        <v>1047</v>
      </c>
      <c r="C745" s="12" t="s">
        <v>1048</v>
      </c>
      <c r="D745" s="54"/>
      <c r="E745" s="39" t="str">
        <f>HYPERLINK("https://www.google.ru/search?q=3024877-105&amp;newwindow=1&amp;tbm=isch","Еще фото")</f>
        <v>Еще фото</v>
      </c>
      <c r="F745" s="13"/>
      <c r="G745" s="24" t="s">
        <v>808</v>
      </c>
      <c r="H745" s="24" t="s">
        <v>593</v>
      </c>
      <c r="I745" s="24" t="s">
        <v>809</v>
      </c>
      <c r="J745" s="14" t="s">
        <v>29</v>
      </c>
      <c r="K745" s="15" t="s">
        <v>30</v>
      </c>
      <c r="L745" s="57"/>
      <c r="M745" s="14" t="s">
        <v>811</v>
      </c>
      <c r="N745" s="14" t="s">
        <v>33</v>
      </c>
      <c r="O745" s="14"/>
      <c r="P745" s="15" t="s">
        <v>1049</v>
      </c>
      <c r="Q745" s="16">
        <v>10899</v>
      </c>
      <c r="R745" s="17">
        <v>48.91</v>
      </c>
      <c r="S745" s="18">
        <v>6402.9354999999996</v>
      </c>
      <c r="T745" s="19" t="s">
        <v>36</v>
      </c>
      <c r="U745" s="20" t="s">
        <v>600</v>
      </c>
      <c r="V745" s="22">
        <v>40</v>
      </c>
      <c r="W745" s="22">
        <v>3</v>
      </c>
      <c r="X745" s="23"/>
    </row>
    <row r="746" spans="1:24" s="1" customFormat="1" ht="26.1" customHeight="1" x14ac:dyDescent="0.3">
      <c r="A746" s="24" t="s">
        <v>23</v>
      </c>
      <c r="B746" s="24" t="s">
        <v>1047</v>
      </c>
      <c r="C746" s="12" t="s">
        <v>1048</v>
      </c>
      <c r="D746" s="55"/>
      <c r="E746" s="39" t="str">
        <f>HYPERLINK("https://www.google.ru/search?q=3024877-105&amp;newwindow=1&amp;tbm=isch","Еще фото")</f>
        <v>Еще фото</v>
      </c>
      <c r="F746" s="13"/>
      <c r="G746" s="24" t="s">
        <v>808</v>
      </c>
      <c r="H746" s="24" t="s">
        <v>593</v>
      </c>
      <c r="I746" s="24" t="s">
        <v>809</v>
      </c>
      <c r="J746" s="14" t="s">
        <v>29</v>
      </c>
      <c r="K746" s="15" t="s">
        <v>30</v>
      </c>
      <c r="L746" s="58"/>
      <c r="M746" s="14" t="s">
        <v>811</v>
      </c>
      <c r="N746" s="14" t="s">
        <v>33</v>
      </c>
      <c r="O746" s="14"/>
      <c r="P746" s="15" t="s">
        <v>1049</v>
      </c>
      <c r="Q746" s="16">
        <v>10899</v>
      </c>
      <c r="R746" s="17">
        <v>48.91</v>
      </c>
      <c r="S746" s="18">
        <v>6402.9354999999996</v>
      </c>
      <c r="T746" s="19" t="s">
        <v>36</v>
      </c>
      <c r="U746" s="20" t="s">
        <v>601</v>
      </c>
      <c r="V746" s="22">
        <v>41</v>
      </c>
      <c r="W746" s="22">
        <v>3</v>
      </c>
      <c r="X746" s="23"/>
    </row>
    <row r="747" spans="1:24" s="1" customFormat="1" ht="17.100000000000001" customHeight="1" x14ac:dyDescent="0.3">
      <c r="A747" s="11" t="s">
        <v>23</v>
      </c>
      <c r="B747" s="11" t="s">
        <v>1050</v>
      </c>
      <c r="C747" s="12" t="s">
        <v>1051</v>
      </c>
      <c r="D747" s="53"/>
      <c r="E747" s="39" t="str">
        <f t="shared" ref="E747:E752" si="11">HYPERLINK("https://www.google.ru/search?q=3028261-002&amp;newwindow=1&amp;tbm=isch","Еще фото")</f>
        <v>Еще фото</v>
      </c>
      <c r="F747" s="13"/>
      <c r="G747" s="11" t="s">
        <v>808</v>
      </c>
      <c r="H747" s="11" t="s">
        <v>593</v>
      </c>
      <c r="I747" s="14" t="s">
        <v>809</v>
      </c>
      <c r="J747" s="14" t="s">
        <v>29</v>
      </c>
      <c r="K747" s="15" t="s">
        <v>64</v>
      </c>
      <c r="L747" s="56" t="s">
        <v>1052</v>
      </c>
      <c r="M747" s="14"/>
      <c r="N747" s="14" t="s">
        <v>33</v>
      </c>
      <c r="O747" s="14"/>
      <c r="P747" s="15" t="s">
        <v>597</v>
      </c>
      <c r="Q747" s="16">
        <v>8899</v>
      </c>
      <c r="R747" s="17">
        <v>48.9</v>
      </c>
      <c r="S747" s="18">
        <v>5229.9355000000005</v>
      </c>
      <c r="T747" s="19" t="s">
        <v>36</v>
      </c>
      <c r="U747" s="20" t="s">
        <v>813</v>
      </c>
      <c r="V747" s="28">
        <v>35.5</v>
      </c>
      <c r="W747" s="22">
        <v>2</v>
      </c>
      <c r="X747" s="23"/>
    </row>
    <row r="748" spans="1:24" s="1" customFormat="1" ht="17.100000000000001" customHeight="1" x14ac:dyDescent="0.3">
      <c r="A748" s="24" t="s">
        <v>23</v>
      </c>
      <c r="B748" s="24" t="s">
        <v>1050</v>
      </c>
      <c r="C748" s="12" t="s">
        <v>1051</v>
      </c>
      <c r="D748" s="54"/>
      <c r="E748" s="39" t="str">
        <f t="shared" si="11"/>
        <v>Еще фото</v>
      </c>
      <c r="F748" s="13"/>
      <c r="G748" s="24" t="s">
        <v>808</v>
      </c>
      <c r="H748" s="24" t="s">
        <v>593</v>
      </c>
      <c r="I748" s="24" t="s">
        <v>809</v>
      </c>
      <c r="J748" s="14" t="s">
        <v>29</v>
      </c>
      <c r="K748" s="15" t="s">
        <v>64</v>
      </c>
      <c r="L748" s="57"/>
      <c r="M748" s="14"/>
      <c r="N748" s="14" t="s">
        <v>33</v>
      </c>
      <c r="O748" s="14"/>
      <c r="P748" s="15" t="s">
        <v>597</v>
      </c>
      <c r="Q748" s="16">
        <v>8899</v>
      </c>
      <c r="R748" s="17">
        <v>48.9</v>
      </c>
      <c r="S748" s="18">
        <v>5229.9355000000005</v>
      </c>
      <c r="T748" s="19" t="s">
        <v>36</v>
      </c>
      <c r="U748" s="20" t="s">
        <v>820</v>
      </c>
      <c r="V748" s="22">
        <v>36</v>
      </c>
      <c r="W748" s="22">
        <v>4</v>
      </c>
      <c r="X748" s="23"/>
    </row>
    <row r="749" spans="1:24" s="1" customFormat="1" ht="17.100000000000001" customHeight="1" x14ac:dyDescent="0.3">
      <c r="A749" s="24" t="s">
        <v>23</v>
      </c>
      <c r="B749" s="24" t="s">
        <v>1050</v>
      </c>
      <c r="C749" s="12" t="s">
        <v>1051</v>
      </c>
      <c r="D749" s="54"/>
      <c r="E749" s="39" t="str">
        <f t="shared" si="11"/>
        <v>Еще фото</v>
      </c>
      <c r="F749" s="13"/>
      <c r="G749" s="24" t="s">
        <v>808</v>
      </c>
      <c r="H749" s="24" t="s">
        <v>593</v>
      </c>
      <c r="I749" s="24" t="s">
        <v>809</v>
      </c>
      <c r="J749" s="14" t="s">
        <v>29</v>
      </c>
      <c r="K749" s="15" t="s">
        <v>64</v>
      </c>
      <c r="L749" s="57"/>
      <c r="M749" s="14"/>
      <c r="N749" s="14" t="s">
        <v>33</v>
      </c>
      <c r="O749" s="14"/>
      <c r="P749" s="15" t="s">
        <v>597</v>
      </c>
      <c r="Q749" s="16">
        <v>8899</v>
      </c>
      <c r="R749" s="17">
        <v>48.9</v>
      </c>
      <c r="S749" s="18">
        <v>5229.9355000000005</v>
      </c>
      <c r="T749" s="19" t="s">
        <v>36</v>
      </c>
      <c r="U749" s="20" t="s">
        <v>814</v>
      </c>
      <c r="V749" s="28">
        <v>36.5</v>
      </c>
      <c r="W749" s="22">
        <v>5</v>
      </c>
      <c r="X749" s="23"/>
    </row>
    <row r="750" spans="1:24" s="1" customFormat="1" ht="17.100000000000001" customHeight="1" x14ac:dyDescent="0.3">
      <c r="A750" s="24" t="s">
        <v>23</v>
      </c>
      <c r="B750" s="24" t="s">
        <v>1050</v>
      </c>
      <c r="C750" s="12" t="s">
        <v>1051</v>
      </c>
      <c r="D750" s="54"/>
      <c r="E750" s="39" t="str">
        <f t="shared" si="11"/>
        <v>Еще фото</v>
      </c>
      <c r="F750" s="13"/>
      <c r="G750" s="24" t="s">
        <v>808</v>
      </c>
      <c r="H750" s="24" t="s">
        <v>593</v>
      </c>
      <c r="I750" s="24" t="s">
        <v>809</v>
      </c>
      <c r="J750" s="14" t="s">
        <v>29</v>
      </c>
      <c r="K750" s="15" t="s">
        <v>64</v>
      </c>
      <c r="L750" s="57"/>
      <c r="M750" s="14"/>
      <c r="N750" s="14" t="s">
        <v>33</v>
      </c>
      <c r="O750" s="14"/>
      <c r="P750" s="15" t="s">
        <v>597</v>
      </c>
      <c r="Q750" s="16">
        <v>8899</v>
      </c>
      <c r="R750" s="17">
        <v>48.9</v>
      </c>
      <c r="S750" s="18">
        <v>5229.9355000000005</v>
      </c>
      <c r="T750" s="19" t="s">
        <v>36</v>
      </c>
      <c r="U750" s="20" t="s">
        <v>598</v>
      </c>
      <c r="V750" s="22">
        <v>37</v>
      </c>
      <c r="W750" s="22">
        <v>5</v>
      </c>
      <c r="X750" s="23"/>
    </row>
    <row r="751" spans="1:24" s="1" customFormat="1" ht="17.100000000000001" customHeight="1" x14ac:dyDescent="0.3">
      <c r="A751" s="24" t="s">
        <v>23</v>
      </c>
      <c r="B751" s="24" t="s">
        <v>1050</v>
      </c>
      <c r="C751" s="12" t="s">
        <v>1051</v>
      </c>
      <c r="D751" s="54"/>
      <c r="E751" s="39" t="str">
        <f t="shared" si="11"/>
        <v>Еще фото</v>
      </c>
      <c r="F751" s="13"/>
      <c r="G751" s="24" t="s">
        <v>808</v>
      </c>
      <c r="H751" s="24" t="s">
        <v>593</v>
      </c>
      <c r="I751" s="24" t="s">
        <v>809</v>
      </c>
      <c r="J751" s="14" t="s">
        <v>29</v>
      </c>
      <c r="K751" s="15" t="s">
        <v>64</v>
      </c>
      <c r="L751" s="57"/>
      <c r="M751" s="14"/>
      <c r="N751" s="14" t="s">
        <v>33</v>
      </c>
      <c r="O751" s="14"/>
      <c r="P751" s="15" t="s">
        <v>597</v>
      </c>
      <c r="Q751" s="16">
        <v>8899</v>
      </c>
      <c r="R751" s="17">
        <v>48.9</v>
      </c>
      <c r="S751" s="18">
        <v>5229.9355000000005</v>
      </c>
      <c r="T751" s="19" t="s">
        <v>36</v>
      </c>
      <c r="U751" s="20" t="s">
        <v>599</v>
      </c>
      <c r="V751" s="28">
        <v>37.5</v>
      </c>
      <c r="W751" s="22">
        <v>2</v>
      </c>
      <c r="X751" s="23"/>
    </row>
    <row r="752" spans="1:24" s="1" customFormat="1" ht="21.95" customHeight="1" x14ac:dyDescent="0.3">
      <c r="A752" s="24" t="s">
        <v>23</v>
      </c>
      <c r="B752" s="24" t="s">
        <v>1050</v>
      </c>
      <c r="C752" s="12" t="s">
        <v>1051</v>
      </c>
      <c r="D752" s="55"/>
      <c r="E752" s="39" t="str">
        <f t="shared" si="11"/>
        <v>Еще фото</v>
      </c>
      <c r="F752" s="13"/>
      <c r="G752" s="24" t="s">
        <v>808</v>
      </c>
      <c r="H752" s="24" t="s">
        <v>593</v>
      </c>
      <c r="I752" s="24" t="s">
        <v>809</v>
      </c>
      <c r="J752" s="14" t="s">
        <v>29</v>
      </c>
      <c r="K752" s="15" t="s">
        <v>64</v>
      </c>
      <c r="L752" s="58"/>
      <c r="M752" s="14"/>
      <c r="N752" s="14" t="s">
        <v>33</v>
      </c>
      <c r="O752" s="14"/>
      <c r="P752" s="15" t="s">
        <v>597</v>
      </c>
      <c r="Q752" s="16">
        <v>8899</v>
      </c>
      <c r="R752" s="17">
        <v>48.9</v>
      </c>
      <c r="S752" s="18">
        <v>5229.9355000000005</v>
      </c>
      <c r="T752" s="19" t="s">
        <v>36</v>
      </c>
      <c r="U752" s="20" t="s">
        <v>602</v>
      </c>
      <c r="V752" s="28">
        <v>39.5</v>
      </c>
      <c r="W752" s="22">
        <v>1</v>
      </c>
      <c r="X752" s="23"/>
    </row>
    <row r="753" spans="1:24" s="1" customFormat="1" ht="17.100000000000001" customHeight="1" x14ac:dyDescent="0.3">
      <c r="A753" s="11" t="s">
        <v>23</v>
      </c>
      <c r="B753" s="11" t="s">
        <v>1053</v>
      </c>
      <c r="C753" s="12" t="s">
        <v>1054</v>
      </c>
      <c r="D753" s="53"/>
      <c r="E753" s="39" t="str">
        <f t="shared" ref="E753:E758" si="12">HYPERLINK("https://www.google.ru/search?q=3028751-452&amp;newwindow=1&amp;tbm=isch","Еще фото")</f>
        <v>Еще фото</v>
      </c>
      <c r="F753" s="13"/>
      <c r="G753" s="11" t="s">
        <v>808</v>
      </c>
      <c r="H753" s="11" t="s">
        <v>593</v>
      </c>
      <c r="I753" s="14" t="s">
        <v>809</v>
      </c>
      <c r="J753" s="14" t="s">
        <v>29</v>
      </c>
      <c r="K753" s="15" t="s">
        <v>30</v>
      </c>
      <c r="L753" s="56" t="s">
        <v>1055</v>
      </c>
      <c r="M753" s="14" t="s">
        <v>824</v>
      </c>
      <c r="N753" s="14" t="s">
        <v>91</v>
      </c>
      <c r="O753" s="14"/>
      <c r="P753" s="15" t="s">
        <v>1056</v>
      </c>
      <c r="Q753" s="16">
        <v>13299</v>
      </c>
      <c r="R753" s="17">
        <v>48.89</v>
      </c>
      <c r="S753" s="18">
        <v>7817.4354999999996</v>
      </c>
      <c r="T753" s="19" t="s">
        <v>36</v>
      </c>
      <c r="U753" s="20" t="s">
        <v>600</v>
      </c>
      <c r="V753" s="22">
        <v>40</v>
      </c>
      <c r="W753" s="22">
        <v>2</v>
      </c>
      <c r="X753" s="23"/>
    </row>
    <row r="754" spans="1:24" s="1" customFormat="1" ht="17.100000000000001" customHeight="1" x14ac:dyDescent="0.3">
      <c r="A754" s="24" t="s">
        <v>23</v>
      </c>
      <c r="B754" s="24" t="s">
        <v>1053</v>
      </c>
      <c r="C754" s="12" t="s">
        <v>1054</v>
      </c>
      <c r="D754" s="54"/>
      <c r="E754" s="39" t="str">
        <f t="shared" si="12"/>
        <v>Еще фото</v>
      </c>
      <c r="F754" s="13"/>
      <c r="G754" s="24" t="s">
        <v>808</v>
      </c>
      <c r="H754" s="24" t="s">
        <v>593</v>
      </c>
      <c r="I754" s="24" t="s">
        <v>809</v>
      </c>
      <c r="J754" s="14" t="s">
        <v>29</v>
      </c>
      <c r="K754" s="15" t="s">
        <v>30</v>
      </c>
      <c r="L754" s="57"/>
      <c r="M754" s="14" t="s">
        <v>824</v>
      </c>
      <c r="N754" s="14" t="s">
        <v>91</v>
      </c>
      <c r="O754" s="14"/>
      <c r="P754" s="15" t="s">
        <v>1056</v>
      </c>
      <c r="Q754" s="16">
        <v>13299</v>
      </c>
      <c r="R754" s="17">
        <v>48.89</v>
      </c>
      <c r="S754" s="18">
        <v>7817.4354999999996</v>
      </c>
      <c r="T754" s="19" t="s">
        <v>36</v>
      </c>
      <c r="U754" s="20" t="s">
        <v>601</v>
      </c>
      <c r="V754" s="22">
        <v>41</v>
      </c>
      <c r="W754" s="22">
        <v>2</v>
      </c>
      <c r="X754" s="23"/>
    </row>
    <row r="755" spans="1:24" s="1" customFormat="1" ht="17.100000000000001" customHeight="1" x14ac:dyDescent="0.3">
      <c r="A755" s="24" t="s">
        <v>23</v>
      </c>
      <c r="B755" s="24" t="s">
        <v>1053</v>
      </c>
      <c r="C755" s="12" t="s">
        <v>1054</v>
      </c>
      <c r="D755" s="54"/>
      <c r="E755" s="39" t="str">
        <f t="shared" si="12"/>
        <v>Еще фото</v>
      </c>
      <c r="F755" s="13"/>
      <c r="G755" s="24" t="s">
        <v>808</v>
      </c>
      <c r="H755" s="24" t="s">
        <v>593</v>
      </c>
      <c r="I755" s="24" t="s">
        <v>809</v>
      </c>
      <c r="J755" s="14" t="s">
        <v>29</v>
      </c>
      <c r="K755" s="15" t="s">
        <v>30</v>
      </c>
      <c r="L755" s="57"/>
      <c r="M755" s="14" t="s">
        <v>824</v>
      </c>
      <c r="N755" s="14" t="s">
        <v>91</v>
      </c>
      <c r="O755" s="14"/>
      <c r="P755" s="15" t="s">
        <v>1056</v>
      </c>
      <c r="Q755" s="16">
        <v>13299</v>
      </c>
      <c r="R755" s="17">
        <v>48.89</v>
      </c>
      <c r="S755" s="18">
        <v>7817.4354999999996</v>
      </c>
      <c r="T755" s="19" t="s">
        <v>36</v>
      </c>
      <c r="U755" s="20" t="s">
        <v>602</v>
      </c>
      <c r="V755" s="28">
        <v>41.5</v>
      </c>
      <c r="W755" s="22">
        <v>4</v>
      </c>
      <c r="X755" s="23"/>
    </row>
    <row r="756" spans="1:24" s="1" customFormat="1" ht="17.100000000000001" customHeight="1" x14ac:dyDescent="0.3">
      <c r="A756" s="24" t="s">
        <v>23</v>
      </c>
      <c r="B756" s="24" t="s">
        <v>1053</v>
      </c>
      <c r="C756" s="12" t="s">
        <v>1054</v>
      </c>
      <c r="D756" s="54"/>
      <c r="E756" s="39" t="str">
        <f t="shared" si="12"/>
        <v>Еще фото</v>
      </c>
      <c r="F756" s="13"/>
      <c r="G756" s="24" t="s">
        <v>808</v>
      </c>
      <c r="H756" s="24" t="s">
        <v>593</v>
      </c>
      <c r="I756" s="24" t="s">
        <v>809</v>
      </c>
      <c r="J756" s="14" t="s">
        <v>29</v>
      </c>
      <c r="K756" s="15" t="s">
        <v>30</v>
      </c>
      <c r="L756" s="57"/>
      <c r="M756" s="14" t="s">
        <v>824</v>
      </c>
      <c r="N756" s="14" t="s">
        <v>91</v>
      </c>
      <c r="O756" s="14"/>
      <c r="P756" s="15" t="s">
        <v>1056</v>
      </c>
      <c r="Q756" s="16">
        <v>13299</v>
      </c>
      <c r="R756" s="17">
        <v>48.89</v>
      </c>
      <c r="S756" s="18">
        <v>7817.4354999999996</v>
      </c>
      <c r="T756" s="19" t="s">
        <v>36</v>
      </c>
      <c r="U756" s="20" t="s">
        <v>604</v>
      </c>
      <c r="V756" s="22">
        <v>43</v>
      </c>
      <c r="W756" s="22">
        <v>3</v>
      </c>
      <c r="X756" s="23"/>
    </row>
    <row r="757" spans="1:24" s="1" customFormat="1" ht="17.100000000000001" customHeight="1" x14ac:dyDescent="0.3">
      <c r="A757" s="24" t="s">
        <v>23</v>
      </c>
      <c r="B757" s="24" t="s">
        <v>1053</v>
      </c>
      <c r="C757" s="12" t="s">
        <v>1054</v>
      </c>
      <c r="D757" s="54"/>
      <c r="E757" s="39" t="str">
        <f t="shared" si="12"/>
        <v>Еще фото</v>
      </c>
      <c r="F757" s="13"/>
      <c r="G757" s="24" t="s">
        <v>808</v>
      </c>
      <c r="H757" s="24" t="s">
        <v>593</v>
      </c>
      <c r="I757" s="24" t="s">
        <v>809</v>
      </c>
      <c r="J757" s="14" t="s">
        <v>29</v>
      </c>
      <c r="K757" s="15" t="s">
        <v>30</v>
      </c>
      <c r="L757" s="57"/>
      <c r="M757" s="14" t="s">
        <v>824</v>
      </c>
      <c r="N757" s="14" t="s">
        <v>91</v>
      </c>
      <c r="O757" s="14"/>
      <c r="P757" s="15" t="s">
        <v>1056</v>
      </c>
      <c r="Q757" s="16">
        <v>13299</v>
      </c>
      <c r="R757" s="17">
        <v>48.89</v>
      </c>
      <c r="S757" s="18">
        <v>7817.4354999999996</v>
      </c>
      <c r="T757" s="19" t="s">
        <v>36</v>
      </c>
      <c r="U757" s="20" t="s">
        <v>605</v>
      </c>
      <c r="V757" s="28">
        <v>43.5</v>
      </c>
      <c r="W757" s="22">
        <v>2</v>
      </c>
      <c r="X757" s="23"/>
    </row>
    <row r="758" spans="1:24" s="1" customFormat="1" ht="21.95" customHeight="1" x14ac:dyDescent="0.3">
      <c r="A758" s="24" t="s">
        <v>23</v>
      </c>
      <c r="B758" s="24" t="s">
        <v>1053</v>
      </c>
      <c r="C758" s="12" t="s">
        <v>1054</v>
      </c>
      <c r="D758" s="55"/>
      <c r="E758" s="39" t="str">
        <f t="shared" si="12"/>
        <v>Еще фото</v>
      </c>
      <c r="F758" s="13"/>
      <c r="G758" s="24" t="s">
        <v>808</v>
      </c>
      <c r="H758" s="24" t="s">
        <v>593</v>
      </c>
      <c r="I758" s="24" t="s">
        <v>809</v>
      </c>
      <c r="J758" s="14" t="s">
        <v>29</v>
      </c>
      <c r="K758" s="15" t="s">
        <v>30</v>
      </c>
      <c r="L758" s="58"/>
      <c r="M758" s="14" t="s">
        <v>824</v>
      </c>
      <c r="N758" s="14" t="s">
        <v>91</v>
      </c>
      <c r="O758" s="14"/>
      <c r="P758" s="15" t="s">
        <v>1056</v>
      </c>
      <c r="Q758" s="16">
        <v>13299</v>
      </c>
      <c r="R758" s="17">
        <v>48.89</v>
      </c>
      <c r="S758" s="18">
        <v>7817.4354999999996</v>
      </c>
      <c r="T758" s="19" t="s">
        <v>36</v>
      </c>
      <c r="U758" s="20" t="s">
        <v>606</v>
      </c>
      <c r="V758" s="22">
        <v>44</v>
      </c>
      <c r="W758" s="22">
        <v>1</v>
      </c>
      <c r="X758" s="23"/>
    </row>
    <row r="759" spans="1:24" s="1" customFormat="1" ht="108" customHeight="1" x14ac:dyDescent="0.3">
      <c r="A759" s="11" t="s">
        <v>23</v>
      </c>
      <c r="B759" s="11" t="s">
        <v>1057</v>
      </c>
      <c r="C759" s="12" t="s">
        <v>1058</v>
      </c>
      <c r="D759" s="25"/>
      <c r="E759" s="39" t="str">
        <f>HYPERLINK("https://www.google.ru/search?q=3020976-004&amp;newwindow=1&amp;tbm=isch","Еще фото")</f>
        <v>Еще фото</v>
      </c>
      <c r="F759" s="13"/>
      <c r="G759" s="11" t="s">
        <v>808</v>
      </c>
      <c r="H759" s="11" t="s">
        <v>593</v>
      </c>
      <c r="I759" s="14" t="s">
        <v>809</v>
      </c>
      <c r="J759" s="14" t="s">
        <v>29</v>
      </c>
      <c r="K759" s="15" t="s">
        <v>64</v>
      </c>
      <c r="L759" s="14" t="s">
        <v>1059</v>
      </c>
      <c r="M759" s="14" t="s">
        <v>824</v>
      </c>
      <c r="N759" s="14" t="s">
        <v>33</v>
      </c>
      <c r="O759" s="14" t="s">
        <v>681</v>
      </c>
      <c r="P759" s="15" t="s">
        <v>1060</v>
      </c>
      <c r="Q759" s="16">
        <v>15290</v>
      </c>
      <c r="R759" s="17">
        <v>48.87</v>
      </c>
      <c r="S759" s="18">
        <v>8990.4354999999996</v>
      </c>
      <c r="T759" s="19" t="s">
        <v>36</v>
      </c>
      <c r="U759" s="20" t="s">
        <v>820</v>
      </c>
      <c r="V759" s="22">
        <v>36</v>
      </c>
      <c r="W759" s="22">
        <v>4</v>
      </c>
      <c r="X759" s="23"/>
    </row>
    <row r="760" spans="1:24" s="1" customFormat="1" ht="108" customHeight="1" x14ac:dyDescent="0.3">
      <c r="A760" s="11" t="s">
        <v>23</v>
      </c>
      <c r="B760" s="11" t="s">
        <v>1061</v>
      </c>
      <c r="C760" s="12" t="s">
        <v>1062</v>
      </c>
      <c r="D760" s="25"/>
      <c r="E760" s="39" t="str">
        <f>HYPERLINK("https://www.google.ru/search?q=3026727-010&amp;newwindow=1&amp;tbm=isch","Еще фото")</f>
        <v>Еще фото</v>
      </c>
      <c r="F760" s="13"/>
      <c r="G760" s="11" t="s">
        <v>808</v>
      </c>
      <c r="H760" s="11" t="s">
        <v>593</v>
      </c>
      <c r="I760" s="14" t="s">
        <v>809</v>
      </c>
      <c r="J760" s="14" t="s">
        <v>29</v>
      </c>
      <c r="K760" s="15" t="s">
        <v>30</v>
      </c>
      <c r="L760" s="14" t="s">
        <v>1063</v>
      </c>
      <c r="M760" s="14"/>
      <c r="N760" s="14" t="s">
        <v>33</v>
      </c>
      <c r="O760" s="14"/>
      <c r="P760" s="15" t="s">
        <v>1064</v>
      </c>
      <c r="Q760" s="16">
        <v>9499</v>
      </c>
      <c r="R760" s="17">
        <v>48.86</v>
      </c>
      <c r="S760" s="18">
        <v>5586.4355000000005</v>
      </c>
      <c r="T760" s="19" t="s">
        <v>36</v>
      </c>
      <c r="U760" s="20" t="s">
        <v>604</v>
      </c>
      <c r="V760" s="22">
        <v>43</v>
      </c>
      <c r="W760" s="22">
        <v>1</v>
      </c>
      <c r="X760" s="23"/>
    </row>
    <row r="761" spans="1:24" s="1" customFormat="1" ht="17.100000000000001" customHeight="1" x14ac:dyDescent="0.3">
      <c r="A761" s="11" t="s">
        <v>23</v>
      </c>
      <c r="B761" s="11" t="s">
        <v>1065</v>
      </c>
      <c r="C761" s="12" t="s">
        <v>1066</v>
      </c>
      <c r="D761" s="53"/>
      <c r="E761" s="39" t="str">
        <f t="shared" ref="E761:E766" si="13">HYPERLINK("https://www.google.ru/search?q=3025799-002&amp;newwindow=1&amp;tbm=isch","Еще фото")</f>
        <v>Еще фото</v>
      </c>
      <c r="F761" s="13" t="s">
        <v>98</v>
      </c>
      <c r="G761" s="11" t="s">
        <v>808</v>
      </c>
      <c r="H761" s="11" t="s">
        <v>593</v>
      </c>
      <c r="I761" s="14" t="s">
        <v>809</v>
      </c>
      <c r="J761" s="14" t="s">
        <v>29</v>
      </c>
      <c r="K761" s="15" t="s">
        <v>64</v>
      </c>
      <c r="L761" s="56" t="s">
        <v>1067</v>
      </c>
      <c r="M761" s="14" t="s">
        <v>836</v>
      </c>
      <c r="N761" s="14" t="s">
        <v>91</v>
      </c>
      <c r="O761" s="14"/>
      <c r="P761" s="15" t="s">
        <v>928</v>
      </c>
      <c r="Q761" s="16">
        <v>28799</v>
      </c>
      <c r="R761" s="17">
        <v>48.86</v>
      </c>
      <c r="S761" s="18">
        <v>16936.9355</v>
      </c>
      <c r="T761" s="19" t="s">
        <v>36</v>
      </c>
      <c r="U761" s="20" t="s">
        <v>814</v>
      </c>
      <c r="V761" s="28">
        <v>36.5</v>
      </c>
      <c r="W761" s="22">
        <v>6</v>
      </c>
      <c r="X761" s="23"/>
    </row>
    <row r="762" spans="1:24" s="1" customFormat="1" ht="17.100000000000001" customHeight="1" x14ac:dyDescent="0.3">
      <c r="A762" s="24" t="s">
        <v>23</v>
      </c>
      <c r="B762" s="24" t="s">
        <v>1065</v>
      </c>
      <c r="C762" s="12" t="s">
        <v>1066</v>
      </c>
      <c r="D762" s="54"/>
      <c r="E762" s="39" t="str">
        <f t="shared" si="13"/>
        <v>Еще фото</v>
      </c>
      <c r="F762" s="13" t="s">
        <v>98</v>
      </c>
      <c r="G762" s="24" t="s">
        <v>808</v>
      </c>
      <c r="H762" s="24" t="s">
        <v>593</v>
      </c>
      <c r="I762" s="24" t="s">
        <v>809</v>
      </c>
      <c r="J762" s="14" t="s">
        <v>29</v>
      </c>
      <c r="K762" s="15" t="s">
        <v>64</v>
      </c>
      <c r="L762" s="57"/>
      <c r="M762" s="14" t="s">
        <v>836</v>
      </c>
      <c r="N762" s="14" t="s">
        <v>91</v>
      </c>
      <c r="O762" s="14"/>
      <c r="P762" s="15" t="s">
        <v>928</v>
      </c>
      <c r="Q762" s="16">
        <v>28799</v>
      </c>
      <c r="R762" s="17">
        <v>48.86</v>
      </c>
      <c r="S762" s="18">
        <v>16936.9355</v>
      </c>
      <c r="T762" s="19" t="s">
        <v>36</v>
      </c>
      <c r="U762" s="20" t="s">
        <v>598</v>
      </c>
      <c r="V762" s="22">
        <v>37</v>
      </c>
      <c r="W762" s="22">
        <v>5</v>
      </c>
      <c r="X762" s="23"/>
    </row>
    <row r="763" spans="1:24" s="1" customFormat="1" ht="17.100000000000001" customHeight="1" x14ac:dyDescent="0.3">
      <c r="A763" s="24" t="s">
        <v>23</v>
      </c>
      <c r="B763" s="24" t="s">
        <v>1065</v>
      </c>
      <c r="C763" s="12" t="s">
        <v>1066</v>
      </c>
      <c r="D763" s="54"/>
      <c r="E763" s="39" t="str">
        <f t="shared" si="13"/>
        <v>Еще фото</v>
      </c>
      <c r="F763" s="13" t="s">
        <v>98</v>
      </c>
      <c r="G763" s="24" t="s">
        <v>808</v>
      </c>
      <c r="H763" s="24" t="s">
        <v>593</v>
      </c>
      <c r="I763" s="24" t="s">
        <v>809</v>
      </c>
      <c r="J763" s="14" t="s">
        <v>29</v>
      </c>
      <c r="K763" s="15" t="s">
        <v>64</v>
      </c>
      <c r="L763" s="57"/>
      <c r="M763" s="14" t="s">
        <v>836</v>
      </c>
      <c r="N763" s="14" t="s">
        <v>91</v>
      </c>
      <c r="O763" s="14"/>
      <c r="P763" s="15" t="s">
        <v>928</v>
      </c>
      <c r="Q763" s="16">
        <v>28799</v>
      </c>
      <c r="R763" s="17">
        <v>48.86</v>
      </c>
      <c r="S763" s="18">
        <v>16936.9355</v>
      </c>
      <c r="T763" s="19" t="s">
        <v>36</v>
      </c>
      <c r="U763" s="20" t="s">
        <v>599</v>
      </c>
      <c r="V763" s="28">
        <v>37.5</v>
      </c>
      <c r="W763" s="22">
        <v>4</v>
      </c>
      <c r="X763" s="23"/>
    </row>
    <row r="764" spans="1:24" s="1" customFormat="1" ht="17.100000000000001" customHeight="1" x14ac:dyDescent="0.3">
      <c r="A764" s="24" t="s">
        <v>23</v>
      </c>
      <c r="B764" s="24" t="s">
        <v>1065</v>
      </c>
      <c r="C764" s="12" t="s">
        <v>1066</v>
      </c>
      <c r="D764" s="54"/>
      <c r="E764" s="39" t="str">
        <f t="shared" si="13"/>
        <v>Еще фото</v>
      </c>
      <c r="F764" s="13" t="s">
        <v>98</v>
      </c>
      <c r="G764" s="24" t="s">
        <v>808</v>
      </c>
      <c r="H764" s="24" t="s">
        <v>593</v>
      </c>
      <c r="I764" s="24" t="s">
        <v>809</v>
      </c>
      <c r="J764" s="14" t="s">
        <v>29</v>
      </c>
      <c r="K764" s="15" t="s">
        <v>64</v>
      </c>
      <c r="L764" s="57"/>
      <c r="M764" s="14" t="s">
        <v>836</v>
      </c>
      <c r="N764" s="14" t="s">
        <v>91</v>
      </c>
      <c r="O764" s="14"/>
      <c r="P764" s="15" t="s">
        <v>928</v>
      </c>
      <c r="Q764" s="16">
        <v>28799</v>
      </c>
      <c r="R764" s="17">
        <v>48.86</v>
      </c>
      <c r="S764" s="18">
        <v>16936.9355</v>
      </c>
      <c r="T764" s="19" t="s">
        <v>36</v>
      </c>
      <c r="U764" s="20" t="s">
        <v>600</v>
      </c>
      <c r="V764" s="22">
        <v>38</v>
      </c>
      <c r="W764" s="22">
        <v>8</v>
      </c>
      <c r="X764" s="23"/>
    </row>
    <row r="765" spans="1:24" s="1" customFormat="1" ht="17.100000000000001" customHeight="1" x14ac:dyDescent="0.3">
      <c r="A765" s="24" t="s">
        <v>23</v>
      </c>
      <c r="B765" s="24" t="s">
        <v>1065</v>
      </c>
      <c r="C765" s="12" t="s">
        <v>1066</v>
      </c>
      <c r="D765" s="54"/>
      <c r="E765" s="39" t="str">
        <f t="shared" si="13"/>
        <v>Еще фото</v>
      </c>
      <c r="F765" s="13" t="s">
        <v>98</v>
      </c>
      <c r="G765" s="24" t="s">
        <v>808</v>
      </c>
      <c r="H765" s="24" t="s">
        <v>593</v>
      </c>
      <c r="I765" s="24" t="s">
        <v>809</v>
      </c>
      <c r="J765" s="14" t="s">
        <v>29</v>
      </c>
      <c r="K765" s="15" t="s">
        <v>64</v>
      </c>
      <c r="L765" s="57"/>
      <c r="M765" s="14" t="s">
        <v>836</v>
      </c>
      <c r="N765" s="14" t="s">
        <v>91</v>
      </c>
      <c r="O765" s="14"/>
      <c r="P765" s="15" t="s">
        <v>928</v>
      </c>
      <c r="Q765" s="16">
        <v>28799</v>
      </c>
      <c r="R765" s="17">
        <v>48.86</v>
      </c>
      <c r="S765" s="18">
        <v>16936.9355</v>
      </c>
      <c r="T765" s="19" t="s">
        <v>36</v>
      </c>
      <c r="U765" s="20" t="s">
        <v>601</v>
      </c>
      <c r="V765" s="22">
        <v>39</v>
      </c>
      <c r="W765" s="22">
        <v>2</v>
      </c>
      <c r="X765" s="23"/>
    </row>
    <row r="766" spans="1:24" s="1" customFormat="1" ht="21.95" customHeight="1" x14ac:dyDescent="0.3">
      <c r="A766" s="24" t="s">
        <v>23</v>
      </c>
      <c r="B766" s="24" t="s">
        <v>1065</v>
      </c>
      <c r="C766" s="12" t="s">
        <v>1066</v>
      </c>
      <c r="D766" s="55"/>
      <c r="E766" s="39" t="str">
        <f t="shared" si="13"/>
        <v>Еще фото</v>
      </c>
      <c r="F766" s="13" t="s">
        <v>98</v>
      </c>
      <c r="G766" s="24" t="s">
        <v>808</v>
      </c>
      <c r="H766" s="24" t="s">
        <v>593</v>
      </c>
      <c r="I766" s="24" t="s">
        <v>809</v>
      </c>
      <c r="J766" s="14" t="s">
        <v>29</v>
      </c>
      <c r="K766" s="15" t="s">
        <v>64</v>
      </c>
      <c r="L766" s="58"/>
      <c r="M766" s="14" t="s">
        <v>836</v>
      </c>
      <c r="N766" s="14" t="s">
        <v>91</v>
      </c>
      <c r="O766" s="14"/>
      <c r="P766" s="15" t="s">
        <v>928</v>
      </c>
      <c r="Q766" s="16">
        <v>28799</v>
      </c>
      <c r="R766" s="17">
        <v>48.86</v>
      </c>
      <c r="S766" s="18">
        <v>16936.9355</v>
      </c>
      <c r="T766" s="19" t="s">
        <v>36</v>
      </c>
      <c r="U766" s="20" t="s">
        <v>602</v>
      </c>
      <c r="V766" s="28">
        <v>39.5</v>
      </c>
      <c r="W766" s="22">
        <v>4</v>
      </c>
      <c r="X766" s="23"/>
    </row>
    <row r="767" spans="1:24" s="1" customFormat="1" ht="51.95" customHeight="1" x14ac:dyDescent="0.3">
      <c r="A767" s="11" t="s">
        <v>23</v>
      </c>
      <c r="B767" s="11" t="s">
        <v>1068</v>
      </c>
      <c r="C767" s="12" t="s">
        <v>1069</v>
      </c>
      <c r="D767" s="59"/>
      <c r="E767" s="39" t="str">
        <f>HYPERLINK("https://www.google.ru/search?q=3024888-102&amp;newwindow=1&amp;tbm=isch","Еще фото")</f>
        <v>Еще фото</v>
      </c>
      <c r="F767" s="13"/>
      <c r="G767" s="11" t="s">
        <v>808</v>
      </c>
      <c r="H767" s="11" t="s">
        <v>593</v>
      </c>
      <c r="I767" s="14" t="s">
        <v>809</v>
      </c>
      <c r="J767" s="14" t="s">
        <v>29</v>
      </c>
      <c r="K767" s="15" t="s">
        <v>64</v>
      </c>
      <c r="L767" s="56" t="s">
        <v>989</v>
      </c>
      <c r="M767" s="14" t="s">
        <v>959</v>
      </c>
      <c r="N767" s="14" t="s">
        <v>1070</v>
      </c>
      <c r="O767" s="14"/>
      <c r="P767" s="15" t="s">
        <v>1071</v>
      </c>
      <c r="Q767" s="16">
        <v>12999</v>
      </c>
      <c r="R767" s="17">
        <v>48.86</v>
      </c>
      <c r="S767" s="18">
        <v>7644.9354999999996</v>
      </c>
      <c r="T767" s="19" t="s">
        <v>36</v>
      </c>
      <c r="U767" s="20" t="s">
        <v>863</v>
      </c>
      <c r="V767" s="22">
        <v>35</v>
      </c>
      <c r="W767" s="22">
        <v>3</v>
      </c>
      <c r="X767" s="23"/>
    </row>
    <row r="768" spans="1:24" s="1" customFormat="1" ht="60.95" customHeight="1" x14ac:dyDescent="0.3">
      <c r="A768" s="24" t="s">
        <v>23</v>
      </c>
      <c r="B768" s="24" t="s">
        <v>1068</v>
      </c>
      <c r="C768" s="12" t="s">
        <v>1069</v>
      </c>
      <c r="D768" s="60"/>
      <c r="E768" s="39" t="str">
        <f>HYPERLINK("https://www.google.ru/search?q=3024888-102&amp;newwindow=1&amp;tbm=isch","Еще фото")</f>
        <v>Еще фото</v>
      </c>
      <c r="F768" s="13"/>
      <c r="G768" s="24" t="s">
        <v>808</v>
      </c>
      <c r="H768" s="24" t="s">
        <v>593</v>
      </c>
      <c r="I768" s="24" t="s">
        <v>809</v>
      </c>
      <c r="J768" s="14" t="s">
        <v>29</v>
      </c>
      <c r="K768" s="15" t="s">
        <v>64</v>
      </c>
      <c r="L768" s="58"/>
      <c r="M768" s="14" t="s">
        <v>959</v>
      </c>
      <c r="N768" s="14" t="s">
        <v>1070</v>
      </c>
      <c r="O768" s="14"/>
      <c r="P768" s="15" t="s">
        <v>1071</v>
      </c>
      <c r="Q768" s="16">
        <v>12999</v>
      </c>
      <c r="R768" s="17">
        <v>48.86</v>
      </c>
      <c r="S768" s="18">
        <v>7644.9354999999996</v>
      </c>
      <c r="T768" s="19" t="s">
        <v>36</v>
      </c>
      <c r="U768" s="20" t="s">
        <v>813</v>
      </c>
      <c r="V768" s="28">
        <v>35.5</v>
      </c>
      <c r="W768" s="22">
        <v>1</v>
      </c>
      <c r="X768" s="23"/>
    </row>
    <row r="769" spans="1:24" s="1" customFormat="1" ht="51.95" customHeight="1" x14ac:dyDescent="0.3">
      <c r="A769" s="11" t="s">
        <v>23</v>
      </c>
      <c r="B769" s="11" t="s">
        <v>1072</v>
      </c>
      <c r="C769" s="12" t="s">
        <v>1073</v>
      </c>
      <c r="D769" s="59"/>
      <c r="E769" s="39" t="str">
        <f>HYPERLINK("https://www.google.ru/search?q=3027639-003&amp;newwindow=1&amp;tbm=isch","Еще фото")</f>
        <v>Еще фото</v>
      </c>
      <c r="F769" s="13"/>
      <c r="G769" s="11" t="s">
        <v>808</v>
      </c>
      <c r="H769" s="11" t="s">
        <v>593</v>
      </c>
      <c r="I769" s="14" t="s">
        <v>809</v>
      </c>
      <c r="J769" s="14" t="s">
        <v>892</v>
      </c>
      <c r="K769" s="15" t="s">
        <v>578</v>
      </c>
      <c r="L769" s="56" t="s">
        <v>1074</v>
      </c>
      <c r="M769" s="14"/>
      <c r="N769" s="14" t="s">
        <v>33</v>
      </c>
      <c r="O769" s="14"/>
      <c r="P769" s="15" t="s">
        <v>894</v>
      </c>
      <c r="Q769" s="16">
        <v>19999</v>
      </c>
      <c r="R769" s="17">
        <v>48.86</v>
      </c>
      <c r="S769" s="18">
        <v>11761.9355</v>
      </c>
      <c r="T769" s="19" t="s">
        <v>36</v>
      </c>
      <c r="U769" s="20" t="s">
        <v>875</v>
      </c>
      <c r="V769" s="28">
        <v>41.5</v>
      </c>
      <c r="W769" s="22">
        <v>1</v>
      </c>
      <c r="X769" s="23"/>
    </row>
    <row r="770" spans="1:24" s="1" customFormat="1" ht="60.95" customHeight="1" x14ac:dyDescent="0.3">
      <c r="A770" s="24" t="s">
        <v>23</v>
      </c>
      <c r="B770" s="24" t="s">
        <v>1072</v>
      </c>
      <c r="C770" s="12" t="s">
        <v>1073</v>
      </c>
      <c r="D770" s="60"/>
      <c r="E770" s="39" t="str">
        <f>HYPERLINK("https://www.google.ru/search?q=3027639-003&amp;newwindow=1&amp;tbm=isch","Еще фото")</f>
        <v>Еще фото</v>
      </c>
      <c r="F770" s="13"/>
      <c r="G770" s="24" t="s">
        <v>808</v>
      </c>
      <c r="H770" s="24" t="s">
        <v>593</v>
      </c>
      <c r="I770" s="24" t="s">
        <v>809</v>
      </c>
      <c r="J770" s="14" t="s">
        <v>892</v>
      </c>
      <c r="K770" s="15" t="s">
        <v>578</v>
      </c>
      <c r="L770" s="58"/>
      <c r="M770" s="14"/>
      <c r="N770" s="14" t="s">
        <v>33</v>
      </c>
      <c r="O770" s="14"/>
      <c r="P770" s="15" t="s">
        <v>894</v>
      </c>
      <c r="Q770" s="16">
        <v>19999</v>
      </c>
      <c r="R770" s="17">
        <v>48.86</v>
      </c>
      <c r="S770" s="18">
        <v>11761.9355</v>
      </c>
      <c r="T770" s="19" t="s">
        <v>36</v>
      </c>
      <c r="U770" s="20" t="s">
        <v>876</v>
      </c>
      <c r="V770" s="22">
        <v>42</v>
      </c>
      <c r="W770" s="22">
        <v>2</v>
      </c>
      <c r="X770" s="23"/>
    </row>
    <row r="771" spans="1:24" s="1" customFormat="1" ht="51.95" customHeight="1" x14ac:dyDescent="0.3">
      <c r="A771" s="11" t="s">
        <v>23</v>
      </c>
      <c r="B771" s="11" t="s">
        <v>1075</v>
      </c>
      <c r="C771" s="12" t="s">
        <v>1076</v>
      </c>
      <c r="D771" s="59"/>
      <c r="E771" s="39" t="str">
        <f>HYPERLINK("https://www.google.ru/search?q=3027601-104&amp;newwindow=1&amp;tbm=isch","Еще фото")</f>
        <v>Еще фото</v>
      </c>
      <c r="F771" s="13"/>
      <c r="G771" s="11" t="s">
        <v>808</v>
      </c>
      <c r="H771" s="11" t="s">
        <v>593</v>
      </c>
      <c r="I771" s="14" t="s">
        <v>809</v>
      </c>
      <c r="J771" s="14" t="s">
        <v>29</v>
      </c>
      <c r="K771" s="15" t="s">
        <v>64</v>
      </c>
      <c r="L771" s="56" t="s">
        <v>1077</v>
      </c>
      <c r="M771" s="14"/>
      <c r="N771" s="14" t="s">
        <v>74</v>
      </c>
      <c r="O771" s="14"/>
      <c r="P771" s="15" t="s">
        <v>1037</v>
      </c>
      <c r="Q771" s="16">
        <v>28699</v>
      </c>
      <c r="R771" s="17">
        <v>48.86</v>
      </c>
      <c r="S771" s="18">
        <v>16879.4355</v>
      </c>
      <c r="T771" s="19" t="s">
        <v>36</v>
      </c>
      <c r="U771" s="20" t="s">
        <v>820</v>
      </c>
      <c r="V771" s="22">
        <v>36</v>
      </c>
      <c r="W771" s="22">
        <v>1</v>
      </c>
      <c r="X771" s="23"/>
    </row>
    <row r="772" spans="1:24" s="1" customFormat="1" ht="60.95" customHeight="1" x14ac:dyDescent="0.3">
      <c r="A772" s="24" t="s">
        <v>23</v>
      </c>
      <c r="B772" s="24" t="s">
        <v>1075</v>
      </c>
      <c r="C772" s="12" t="s">
        <v>1076</v>
      </c>
      <c r="D772" s="60"/>
      <c r="E772" s="39" t="str">
        <f>HYPERLINK("https://www.google.ru/search?q=3027601-104&amp;newwindow=1&amp;tbm=isch","Еще фото")</f>
        <v>Еще фото</v>
      </c>
      <c r="F772" s="13"/>
      <c r="G772" s="24" t="s">
        <v>808</v>
      </c>
      <c r="H772" s="24" t="s">
        <v>593</v>
      </c>
      <c r="I772" s="24" t="s">
        <v>809</v>
      </c>
      <c r="J772" s="14" t="s">
        <v>29</v>
      </c>
      <c r="K772" s="15" t="s">
        <v>64</v>
      </c>
      <c r="L772" s="58"/>
      <c r="M772" s="14"/>
      <c r="N772" s="14" t="s">
        <v>74</v>
      </c>
      <c r="O772" s="14"/>
      <c r="P772" s="15" t="s">
        <v>1037</v>
      </c>
      <c r="Q772" s="16">
        <v>28699</v>
      </c>
      <c r="R772" s="17">
        <v>48.86</v>
      </c>
      <c r="S772" s="18">
        <v>16879.4355</v>
      </c>
      <c r="T772" s="19" t="s">
        <v>36</v>
      </c>
      <c r="U772" s="20" t="s">
        <v>598</v>
      </c>
      <c r="V772" s="22">
        <v>37</v>
      </c>
      <c r="W772" s="22">
        <v>2</v>
      </c>
      <c r="X772" s="23"/>
    </row>
    <row r="773" spans="1:24" s="1" customFormat="1" ht="51.95" customHeight="1" x14ac:dyDescent="0.3">
      <c r="A773" s="11" t="s">
        <v>23</v>
      </c>
      <c r="B773" s="11" t="s">
        <v>1078</v>
      </c>
      <c r="C773" s="12" t="s">
        <v>1079</v>
      </c>
      <c r="D773" s="59"/>
      <c r="E773" s="39" t="str">
        <f>HYPERLINK("https://www.google.ru/search?q=3027586-104&amp;newwindow=1&amp;tbm=isch","Еще фото")</f>
        <v>Еще фото</v>
      </c>
      <c r="F773" s="13"/>
      <c r="G773" s="11" t="s">
        <v>808</v>
      </c>
      <c r="H773" s="11" t="s">
        <v>593</v>
      </c>
      <c r="I773" s="14" t="s">
        <v>809</v>
      </c>
      <c r="J773" s="14" t="s">
        <v>29</v>
      </c>
      <c r="K773" s="15" t="s">
        <v>64</v>
      </c>
      <c r="L773" s="56" t="s">
        <v>1080</v>
      </c>
      <c r="M773" s="14"/>
      <c r="N773" s="14" t="s">
        <v>74</v>
      </c>
      <c r="O773" s="14"/>
      <c r="P773" s="15" t="s">
        <v>996</v>
      </c>
      <c r="Q773" s="16">
        <v>15499</v>
      </c>
      <c r="R773" s="17">
        <v>48.85</v>
      </c>
      <c r="S773" s="18">
        <v>9116.9354999999996</v>
      </c>
      <c r="T773" s="19" t="s">
        <v>36</v>
      </c>
      <c r="U773" s="20" t="s">
        <v>814</v>
      </c>
      <c r="V773" s="28">
        <v>36.5</v>
      </c>
      <c r="W773" s="22">
        <v>1</v>
      </c>
      <c r="X773" s="23"/>
    </row>
    <row r="774" spans="1:24" s="1" customFormat="1" ht="60.95" customHeight="1" x14ac:dyDescent="0.3">
      <c r="A774" s="24" t="s">
        <v>23</v>
      </c>
      <c r="B774" s="24" t="s">
        <v>1078</v>
      </c>
      <c r="C774" s="12" t="s">
        <v>1079</v>
      </c>
      <c r="D774" s="60"/>
      <c r="E774" s="39" t="str">
        <f>HYPERLINK("https://www.google.ru/search?q=3027586-104&amp;newwindow=1&amp;tbm=isch","Еще фото")</f>
        <v>Еще фото</v>
      </c>
      <c r="F774" s="13"/>
      <c r="G774" s="24" t="s">
        <v>808</v>
      </c>
      <c r="H774" s="24" t="s">
        <v>593</v>
      </c>
      <c r="I774" s="24" t="s">
        <v>809</v>
      </c>
      <c r="J774" s="14" t="s">
        <v>29</v>
      </c>
      <c r="K774" s="15" t="s">
        <v>64</v>
      </c>
      <c r="L774" s="58"/>
      <c r="M774" s="14"/>
      <c r="N774" s="14" t="s">
        <v>74</v>
      </c>
      <c r="O774" s="14"/>
      <c r="P774" s="15" t="s">
        <v>996</v>
      </c>
      <c r="Q774" s="16">
        <v>15499</v>
      </c>
      <c r="R774" s="17">
        <v>48.85</v>
      </c>
      <c r="S774" s="18">
        <v>9116.9354999999996</v>
      </c>
      <c r="T774" s="19" t="s">
        <v>36</v>
      </c>
      <c r="U774" s="20" t="s">
        <v>598</v>
      </c>
      <c r="V774" s="22">
        <v>37</v>
      </c>
      <c r="W774" s="22">
        <v>1</v>
      </c>
      <c r="X774" s="23"/>
    </row>
    <row r="775" spans="1:24" s="1" customFormat="1" ht="108" customHeight="1" x14ac:dyDescent="0.3">
      <c r="A775" s="11" t="s">
        <v>23</v>
      </c>
      <c r="B775" s="11" t="s">
        <v>1081</v>
      </c>
      <c r="C775" s="12" t="s">
        <v>1082</v>
      </c>
      <c r="D775" s="25"/>
      <c r="E775" s="39" t="str">
        <f>HYPERLINK("https://www.google.ru/search?q=3026682-102&amp;newwindow=1&amp;tbm=isch","Еще фото")</f>
        <v>Еще фото</v>
      </c>
      <c r="F775" s="13"/>
      <c r="G775" s="11" t="s">
        <v>808</v>
      </c>
      <c r="H775" s="11" t="s">
        <v>593</v>
      </c>
      <c r="I775" s="14" t="s">
        <v>809</v>
      </c>
      <c r="J775" s="14" t="s">
        <v>29</v>
      </c>
      <c r="K775" s="15" t="s">
        <v>30</v>
      </c>
      <c r="L775" s="14" t="s">
        <v>1083</v>
      </c>
      <c r="M775" s="14" t="s">
        <v>811</v>
      </c>
      <c r="N775" s="14" t="s">
        <v>726</v>
      </c>
      <c r="O775" s="14"/>
      <c r="P775" s="15" t="s">
        <v>1084</v>
      </c>
      <c r="Q775" s="16">
        <v>9399</v>
      </c>
      <c r="R775" s="17">
        <v>48.85</v>
      </c>
      <c r="S775" s="18">
        <v>5528.9355000000005</v>
      </c>
      <c r="T775" s="19" t="s">
        <v>36</v>
      </c>
      <c r="U775" s="20" t="s">
        <v>598</v>
      </c>
      <c r="V775" s="22">
        <v>39</v>
      </c>
      <c r="W775" s="22">
        <v>2</v>
      </c>
      <c r="X775" s="23"/>
    </row>
    <row r="776" spans="1:24" s="1" customFormat="1" ht="51.95" customHeight="1" x14ac:dyDescent="0.3">
      <c r="A776" s="11" t="s">
        <v>23</v>
      </c>
      <c r="B776" s="11" t="s">
        <v>1085</v>
      </c>
      <c r="C776" s="12" t="s">
        <v>1086</v>
      </c>
      <c r="D776" s="59"/>
      <c r="E776" s="39" t="str">
        <f>HYPERLINK("https://www.google.ru/search?q=3026998-001&amp;newwindow=1&amp;tbm=isch","Еще фото")</f>
        <v>Еще фото</v>
      </c>
      <c r="F776" s="13"/>
      <c r="G776" s="11" t="s">
        <v>808</v>
      </c>
      <c r="H776" s="11" t="s">
        <v>593</v>
      </c>
      <c r="I776" s="14" t="s">
        <v>809</v>
      </c>
      <c r="J776" s="14" t="s">
        <v>29</v>
      </c>
      <c r="K776" s="15" t="s">
        <v>30</v>
      </c>
      <c r="L776" s="56" t="s">
        <v>1087</v>
      </c>
      <c r="M776" s="14"/>
      <c r="N776" s="14" t="s">
        <v>33</v>
      </c>
      <c r="O776" s="14"/>
      <c r="P776" s="15" t="s">
        <v>1039</v>
      </c>
      <c r="Q776" s="16">
        <v>11099</v>
      </c>
      <c r="R776" s="17">
        <v>48.84</v>
      </c>
      <c r="S776" s="18">
        <v>6529.4354999999996</v>
      </c>
      <c r="T776" s="19" t="s">
        <v>36</v>
      </c>
      <c r="U776" s="20" t="s">
        <v>599</v>
      </c>
      <c r="V776" s="28">
        <v>39.5</v>
      </c>
      <c r="W776" s="22">
        <v>1</v>
      </c>
      <c r="X776" s="23"/>
    </row>
    <row r="777" spans="1:24" s="1" customFormat="1" ht="60.95" customHeight="1" x14ac:dyDescent="0.3">
      <c r="A777" s="24" t="s">
        <v>23</v>
      </c>
      <c r="B777" s="24" t="s">
        <v>1085</v>
      </c>
      <c r="C777" s="12" t="s">
        <v>1086</v>
      </c>
      <c r="D777" s="60"/>
      <c r="E777" s="39" t="str">
        <f>HYPERLINK("https://www.google.ru/search?q=3026998-001&amp;newwindow=1&amp;tbm=isch","Еще фото")</f>
        <v>Еще фото</v>
      </c>
      <c r="F777" s="13"/>
      <c r="G777" s="24" t="s">
        <v>808</v>
      </c>
      <c r="H777" s="24" t="s">
        <v>593</v>
      </c>
      <c r="I777" s="24" t="s">
        <v>809</v>
      </c>
      <c r="J777" s="14" t="s">
        <v>29</v>
      </c>
      <c r="K777" s="15" t="s">
        <v>30</v>
      </c>
      <c r="L777" s="58"/>
      <c r="M777" s="14"/>
      <c r="N777" s="14" t="s">
        <v>33</v>
      </c>
      <c r="O777" s="14"/>
      <c r="P777" s="15" t="s">
        <v>1039</v>
      </c>
      <c r="Q777" s="16">
        <v>11099</v>
      </c>
      <c r="R777" s="17">
        <v>48.84</v>
      </c>
      <c r="S777" s="18">
        <v>6529.4354999999996</v>
      </c>
      <c r="T777" s="19" t="s">
        <v>36</v>
      </c>
      <c r="U777" s="20" t="s">
        <v>601</v>
      </c>
      <c r="V777" s="22">
        <v>41</v>
      </c>
      <c r="W777" s="22">
        <v>2</v>
      </c>
      <c r="X777" s="23"/>
    </row>
    <row r="778" spans="1:24" s="1" customFormat="1" ht="21" customHeight="1" x14ac:dyDescent="0.3">
      <c r="A778" s="11" t="s">
        <v>23</v>
      </c>
      <c r="B778" s="11" t="s">
        <v>961</v>
      </c>
      <c r="C778" s="26" t="s">
        <v>1088</v>
      </c>
      <c r="D778" s="53"/>
      <c r="E778" s="39" t="str">
        <f>HYPERLINK("https://www.google.ru/search?q=6001585-002&amp;newwindow=1&amp;tbm=isch","Еще фото")</f>
        <v>Еще фото</v>
      </c>
      <c r="F778" s="13" t="s">
        <v>98</v>
      </c>
      <c r="G778" s="11" t="s">
        <v>808</v>
      </c>
      <c r="H778" s="11" t="s">
        <v>593</v>
      </c>
      <c r="I778" s="14" t="s">
        <v>809</v>
      </c>
      <c r="J778" s="14" t="s">
        <v>892</v>
      </c>
      <c r="K778" s="15" t="s">
        <v>578</v>
      </c>
      <c r="L778" s="56" t="s">
        <v>1089</v>
      </c>
      <c r="M778" s="14"/>
      <c r="N778" s="14" t="s">
        <v>33</v>
      </c>
      <c r="O778" s="14"/>
      <c r="P778" s="15" t="s">
        <v>870</v>
      </c>
      <c r="Q778" s="16">
        <v>11099</v>
      </c>
      <c r="R778" s="17">
        <v>48.84</v>
      </c>
      <c r="S778" s="18">
        <v>6529.4354999999996</v>
      </c>
      <c r="T778" s="19" t="s">
        <v>36</v>
      </c>
      <c r="U778" s="20" t="s">
        <v>945</v>
      </c>
      <c r="V778" s="22">
        <v>41</v>
      </c>
      <c r="W778" s="22">
        <v>8</v>
      </c>
      <c r="X778" s="23"/>
    </row>
    <row r="779" spans="1:24" s="1" customFormat="1" ht="21" customHeight="1" x14ac:dyDescent="0.3">
      <c r="A779" s="24" t="s">
        <v>23</v>
      </c>
      <c r="B779" s="24" t="s">
        <v>961</v>
      </c>
      <c r="C779" s="27" t="s">
        <v>1088</v>
      </c>
      <c r="D779" s="54"/>
      <c r="E779" s="39" t="str">
        <f>HYPERLINK("https://www.google.ru/search?q=6001585-002&amp;newwindow=1&amp;tbm=isch","Еще фото")</f>
        <v>Еще фото</v>
      </c>
      <c r="F779" s="13" t="s">
        <v>98</v>
      </c>
      <c r="G779" s="24" t="s">
        <v>808</v>
      </c>
      <c r="H779" s="24" t="s">
        <v>593</v>
      </c>
      <c r="I779" s="24" t="s">
        <v>809</v>
      </c>
      <c r="J779" s="14" t="s">
        <v>892</v>
      </c>
      <c r="K779" s="15" t="s">
        <v>578</v>
      </c>
      <c r="L779" s="57"/>
      <c r="M779" s="14"/>
      <c r="N779" s="14" t="s">
        <v>33</v>
      </c>
      <c r="O779" s="14"/>
      <c r="P779" s="15" t="s">
        <v>870</v>
      </c>
      <c r="Q779" s="16">
        <v>11099</v>
      </c>
      <c r="R779" s="17">
        <v>48.84</v>
      </c>
      <c r="S779" s="18">
        <v>6529.4354999999996</v>
      </c>
      <c r="T779" s="19" t="s">
        <v>36</v>
      </c>
      <c r="U779" s="20" t="s">
        <v>875</v>
      </c>
      <c r="V779" s="28">
        <v>41.5</v>
      </c>
      <c r="W779" s="22">
        <v>3</v>
      </c>
      <c r="X779" s="23"/>
    </row>
    <row r="780" spans="1:24" s="1" customFormat="1" ht="21" customHeight="1" x14ac:dyDescent="0.3">
      <c r="A780" s="24" t="s">
        <v>23</v>
      </c>
      <c r="B780" s="24" t="s">
        <v>961</v>
      </c>
      <c r="C780" s="27" t="s">
        <v>1088</v>
      </c>
      <c r="D780" s="54"/>
      <c r="E780" s="39" t="str">
        <f>HYPERLINK("https://www.google.ru/search?q=6001585-002&amp;newwindow=1&amp;tbm=isch","Еще фото")</f>
        <v>Еще фото</v>
      </c>
      <c r="F780" s="13" t="s">
        <v>98</v>
      </c>
      <c r="G780" s="24" t="s">
        <v>808</v>
      </c>
      <c r="H780" s="24" t="s">
        <v>593</v>
      </c>
      <c r="I780" s="24" t="s">
        <v>809</v>
      </c>
      <c r="J780" s="14" t="s">
        <v>892</v>
      </c>
      <c r="K780" s="15" t="s">
        <v>578</v>
      </c>
      <c r="L780" s="57"/>
      <c r="M780" s="14"/>
      <c r="N780" s="14" t="s">
        <v>33</v>
      </c>
      <c r="O780" s="14"/>
      <c r="P780" s="15" t="s">
        <v>870</v>
      </c>
      <c r="Q780" s="16">
        <v>11099</v>
      </c>
      <c r="R780" s="17">
        <v>48.84</v>
      </c>
      <c r="S780" s="18">
        <v>6529.4354999999996</v>
      </c>
      <c r="T780" s="19" t="s">
        <v>36</v>
      </c>
      <c r="U780" s="20" t="s">
        <v>876</v>
      </c>
      <c r="V780" s="22">
        <v>42</v>
      </c>
      <c r="W780" s="22">
        <v>12</v>
      </c>
      <c r="X780" s="23"/>
    </row>
    <row r="781" spans="1:24" s="1" customFormat="1" ht="21" customHeight="1" x14ac:dyDescent="0.3">
      <c r="A781" s="24" t="s">
        <v>23</v>
      </c>
      <c r="B781" s="24" t="s">
        <v>961</v>
      </c>
      <c r="C781" s="27" t="s">
        <v>1088</v>
      </c>
      <c r="D781" s="54"/>
      <c r="E781" s="39" t="str">
        <f>HYPERLINK("https://www.google.ru/search?q=6001585-002&amp;newwindow=1&amp;tbm=isch","Еще фото")</f>
        <v>Еще фото</v>
      </c>
      <c r="F781" s="13" t="s">
        <v>98</v>
      </c>
      <c r="G781" s="24" t="s">
        <v>808</v>
      </c>
      <c r="H781" s="24" t="s">
        <v>593</v>
      </c>
      <c r="I781" s="24" t="s">
        <v>809</v>
      </c>
      <c r="J781" s="14" t="s">
        <v>892</v>
      </c>
      <c r="K781" s="15" t="s">
        <v>578</v>
      </c>
      <c r="L781" s="57"/>
      <c r="M781" s="14"/>
      <c r="N781" s="14" t="s">
        <v>33</v>
      </c>
      <c r="O781" s="14"/>
      <c r="P781" s="15" t="s">
        <v>870</v>
      </c>
      <c r="Q781" s="16">
        <v>11099</v>
      </c>
      <c r="R781" s="17">
        <v>48.84</v>
      </c>
      <c r="S781" s="18">
        <v>6529.4354999999996</v>
      </c>
      <c r="T781" s="19" t="s">
        <v>36</v>
      </c>
      <c r="U781" s="20" t="s">
        <v>877</v>
      </c>
      <c r="V781" s="22">
        <v>43</v>
      </c>
      <c r="W781" s="22">
        <v>10</v>
      </c>
      <c r="X781" s="23"/>
    </row>
    <row r="782" spans="1:24" s="1" customFormat="1" ht="32.1" customHeight="1" x14ac:dyDescent="0.3">
      <c r="A782" s="24" t="s">
        <v>23</v>
      </c>
      <c r="B782" s="24" t="s">
        <v>961</v>
      </c>
      <c r="C782" s="27" t="s">
        <v>1088</v>
      </c>
      <c r="D782" s="55"/>
      <c r="E782" s="39" t="str">
        <f>HYPERLINK("https://www.google.ru/search?q=6001585-002&amp;newwindow=1&amp;tbm=isch","Еще фото")</f>
        <v>Еще фото</v>
      </c>
      <c r="F782" s="13" t="s">
        <v>98</v>
      </c>
      <c r="G782" s="24" t="s">
        <v>808</v>
      </c>
      <c r="H782" s="24" t="s">
        <v>593</v>
      </c>
      <c r="I782" s="24" t="s">
        <v>809</v>
      </c>
      <c r="J782" s="14" t="s">
        <v>892</v>
      </c>
      <c r="K782" s="15" t="s">
        <v>578</v>
      </c>
      <c r="L782" s="58"/>
      <c r="M782" s="14"/>
      <c r="N782" s="14" t="s">
        <v>33</v>
      </c>
      <c r="O782" s="14"/>
      <c r="P782" s="15" t="s">
        <v>870</v>
      </c>
      <c r="Q782" s="16">
        <v>11099</v>
      </c>
      <c r="R782" s="17">
        <v>48.84</v>
      </c>
      <c r="S782" s="18">
        <v>6529.4354999999996</v>
      </c>
      <c r="T782" s="19" t="s">
        <v>36</v>
      </c>
      <c r="U782" s="20" t="s">
        <v>878</v>
      </c>
      <c r="V782" s="28">
        <v>43.5</v>
      </c>
      <c r="W782" s="22">
        <v>1</v>
      </c>
      <c r="X782" s="23"/>
    </row>
    <row r="783" spans="1:24" s="1" customFormat="1" ht="51.95" customHeight="1" x14ac:dyDescent="0.3">
      <c r="A783" s="11" t="s">
        <v>23</v>
      </c>
      <c r="B783" s="11" t="s">
        <v>1090</v>
      </c>
      <c r="C783" s="12" t="s">
        <v>1091</v>
      </c>
      <c r="D783" s="59"/>
      <c r="E783" s="39" t="str">
        <f>HYPERLINK("https://www.google.ru/search?q=3026582-003&amp;newwindow=1&amp;tbm=isch","Еще фото")</f>
        <v>Еще фото</v>
      </c>
      <c r="F783" s="13"/>
      <c r="G783" s="11" t="s">
        <v>808</v>
      </c>
      <c r="H783" s="11" t="s">
        <v>593</v>
      </c>
      <c r="I783" s="14" t="s">
        <v>809</v>
      </c>
      <c r="J783" s="14" t="s">
        <v>29</v>
      </c>
      <c r="K783" s="15" t="s">
        <v>30</v>
      </c>
      <c r="L783" s="56" t="s">
        <v>1012</v>
      </c>
      <c r="M783" s="14" t="s">
        <v>824</v>
      </c>
      <c r="N783" s="14" t="s">
        <v>1092</v>
      </c>
      <c r="O783" s="14"/>
      <c r="P783" s="15" t="s">
        <v>1014</v>
      </c>
      <c r="Q783" s="16">
        <v>23999</v>
      </c>
      <c r="R783" s="17">
        <v>48.84</v>
      </c>
      <c r="S783" s="18">
        <v>14119.4355</v>
      </c>
      <c r="T783" s="19" t="s">
        <v>36</v>
      </c>
      <c r="U783" s="20" t="s">
        <v>600</v>
      </c>
      <c r="V783" s="22">
        <v>40</v>
      </c>
      <c r="W783" s="22">
        <v>1</v>
      </c>
      <c r="X783" s="23"/>
    </row>
    <row r="784" spans="1:24" s="1" customFormat="1" ht="60.95" customHeight="1" x14ac:dyDescent="0.3">
      <c r="A784" s="24" t="s">
        <v>23</v>
      </c>
      <c r="B784" s="24" t="s">
        <v>1090</v>
      </c>
      <c r="C784" s="12" t="s">
        <v>1091</v>
      </c>
      <c r="D784" s="60"/>
      <c r="E784" s="39" t="str">
        <f>HYPERLINK("https://www.google.ru/search?q=3026582-003&amp;newwindow=1&amp;tbm=isch","Еще фото")</f>
        <v>Еще фото</v>
      </c>
      <c r="F784" s="13"/>
      <c r="G784" s="24" t="s">
        <v>808</v>
      </c>
      <c r="H784" s="24" t="s">
        <v>593</v>
      </c>
      <c r="I784" s="24" t="s">
        <v>809</v>
      </c>
      <c r="J784" s="14" t="s">
        <v>29</v>
      </c>
      <c r="K784" s="15" t="s">
        <v>30</v>
      </c>
      <c r="L784" s="58"/>
      <c r="M784" s="14" t="s">
        <v>824</v>
      </c>
      <c r="N784" s="14" t="s">
        <v>1092</v>
      </c>
      <c r="O784" s="14"/>
      <c r="P784" s="15" t="s">
        <v>1014</v>
      </c>
      <c r="Q784" s="16">
        <v>23999</v>
      </c>
      <c r="R784" s="17">
        <v>48.84</v>
      </c>
      <c r="S784" s="18">
        <v>14119.4355</v>
      </c>
      <c r="T784" s="19" t="s">
        <v>36</v>
      </c>
      <c r="U784" s="20" t="s">
        <v>602</v>
      </c>
      <c r="V784" s="28">
        <v>41.5</v>
      </c>
      <c r="W784" s="22">
        <v>1</v>
      </c>
      <c r="X784" s="23"/>
    </row>
    <row r="785" spans="1:24" s="1" customFormat="1" ht="17.100000000000001" customHeight="1" x14ac:dyDescent="0.3">
      <c r="A785" s="11" t="s">
        <v>23</v>
      </c>
      <c r="B785" s="11" t="s">
        <v>1093</v>
      </c>
      <c r="C785" s="12" t="s">
        <v>1094</v>
      </c>
      <c r="D785" s="53"/>
      <c r="E785" s="39" t="str">
        <f t="shared" ref="E785:E790" si="14">HYPERLINK("https://www.google.ru/search?q=3028168-348&amp;newwindow=1&amp;tbm=isch","Еще фото")</f>
        <v>Еще фото</v>
      </c>
      <c r="F785" s="13"/>
      <c r="G785" s="11" t="s">
        <v>808</v>
      </c>
      <c r="H785" s="11" t="s">
        <v>593</v>
      </c>
      <c r="I785" s="14" t="s">
        <v>809</v>
      </c>
      <c r="J785" s="14" t="s">
        <v>29</v>
      </c>
      <c r="K785" s="15" t="s">
        <v>30</v>
      </c>
      <c r="L785" s="56" t="s">
        <v>1095</v>
      </c>
      <c r="M785" s="14" t="s">
        <v>824</v>
      </c>
      <c r="N785" s="14" t="s">
        <v>125</v>
      </c>
      <c r="O785" s="14"/>
      <c r="P785" s="15" t="s">
        <v>1096</v>
      </c>
      <c r="Q785" s="16">
        <v>18799</v>
      </c>
      <c r="R785" s="17">
        <v>48.84</v>
      </c>
      <c r="S785" s="18">
        <v>11060.4355</v>
      </c>
      <c r="T785" s="19" t="s">
        <v>36</v>
      </c>
      <c r="U785" s="20" t="s">
        <v>600</v>
      </c>
      <c r="V785" s="22">
        <v>40</v>
      </c>
      <c r="W785" s="22">
        <v>2</v>
      </c>
      <c r="X785" s="23"/>
    </row>
    <row r="786" spans="1:24" s="1" customFormat="1" ht="17.100000000000001" customHeight="1" x14ac:dyDescent="0.3">
      <c r="A786" s="24" t="s">
        <v>23</v>
      </c>
      <c r="B786" s="24" t="s">
        <v>1093</v>
      </c>
      <c r="C786" s="12" t="s">
        <v>1094</v>
      </c>
      <c r="D786" s="54"/>
      <c r="E786" s="39" t="str">
        <f t="shared" si="14"/>
        <v>Еще фото</v>
      </c>
      <c r="F786" s="13"/>
      <c r="G786" s="24" t="s">
        <v>808</v>
      </c>
      <c r="H786" s="24" t="s">
        <v>593</v>
      </c>
      <c r="I786" s="24" t="s">
        <v>809</v>
      </c>
      <c r="J786" s="14" t="s">
        <v>29</v>
      </c>
      <c r="K786" s="15" t="s">
        <v>30</v>
      </c>
      <c r="L786" s="57"/>
      <c r="M786" s="14" t="s">
        <v>824</v>
      </c>
      <c r="N786" s="14" t="s">
        <v>125</v>
      </c>
      <c r="O786" s="14"/>
      <c r="P786" s="15" t="s">
        <v>1096</v>
      </c>
      <c r="Q786" s="16">
        <v>18799</v>
      </c>
      <c r="R786" s="17">
        <v>48.84</v>
      </c>
      <c r="S786" s="18">
        <v>11060.4355</v>
      </c>
      <c r="T786" s="19" t="s">
        <v>36</v>
      </c>
      <c r="U786" s="20" t="s">
        <v>601</v>
      </c>
      <c r="V786" s="22">
        <v>41</v>
      </c>
      <c r="W786" s="22">
        <v>4</v>
      </c>
      <c r="X786" s="23"/>
    </row>
    <row r="787" spans="1:24" s="1" customFormat="1" ht="17.100000000000001" customHeight="1" x14ac:dyDescent="0.3">
      <c r="A787" s="24" t="s">
        <v>23</v>
      </c>
      <c r="B787" s="24" t="s">
        <v>1093</v>
      </c>
      <c r="C787" s="12" t="s">
        <v>1094</v>
      </c>
      <c r="D787" s="54"/>
      <c r="E787" s="39" t="str">
        <f t="shared" si="14"/>
        <v>Еще фото</v>
      </c>
      <c r="F787" s="13"/>
      <c r="G787" s="24" t="s">
        <v>808</v>
      </c>
      <c r="H787" s="24" t="s">
        <v>593</v>
      </c>
      <c r="I787" s="24" t="s">
        <v>809</v>
      </c>
      <c r="J787" s="14" t="s">
        <v>29</v>
      </c>
      <c r="K787" s="15" t="s">
        <v>30</v>
      </c>
      <c r="L787" s="57"/>
      <c r="M787" s="14" t="s">
        <v>824</v>
      </c>
      <c r="N787" s="14" t="s">
        <v>125</v>
      </c>
      <c r="O787" s="14"/>
      <c r="P787" s="15" t="s">
        <v>1096</v>
      </c>
      <c r="Q787" s="16">
        <v>18799</v>
      </c>
      <c r="R787" s="17">
        <v>48.84</v>
      </c>
      <c r="S787" s="18">
        <v>11060.4355</v>
      </c>
      <c r="T787" s="19" t="s">
        <v>36</v>
      </c>
      <c r="U787" s="20" t="s">
        <v>602</v>
      </c>
      <c r="V787" s="28">
        <v>41.5</v>
      </c>
      <c r="W787" s="22">
        <v>5</v>
      </c>
      <c r="X787" s="23"/>
    </row>
    <row r="788" spans="1:24" s="1" customFormat="1" ht="17.100000000000001" customHeight="1" x14ac:dyDescent="0.3">
      <c r="A788" s="24" t="s">
        <v>23</v>
      </c>
      <c r="B788" s="24" t="s">
        <v>1093</v>
      </c>
      <c r="C788" s="12" t="s">
        <v>1094</v>
      </c>
      <c r="D788" s="54"/>
      <c r="E788" s="39" t="str">
        <f t="shared" si="14"/>
        <v>Еще фото</v>
      </c>
      <c r="F788" s="13"/>
      <c r="G788" s="24" t="s">
        <v>808</v>
      </c>
      <c r="H788" s="24" t="s">
        <v>593</v>
      </c>
      <c r="I788" s="24" t="s">
        <v>809</v>
      </c>
      <c r="J788" s="14" t="s">
        <v>29</v>
      </c>
      <c r="K788" s="15" t="s">
        <v>30</v>
      </c>
      <c r="L788" s="57"/>
      <c r="M788" s="14" t="s">
        <v>824</v>
      </c>
      <c r="N788" s="14" t="s">
        <v>125</v>
      </c>
      <c r="O788" s="14"/>
      <c r="P788" s="15" t="s">
        <v>1096</v>
      </c>
      <c r="Q788" s="16">
        <v>18799</v>
      </c>
      <c r="R788" s="17">
        <v>48.84</v>
      </c>
      <c r="S788" s="18">
        <v>11060.4355</v>
      </c>
      <c r="T788" s="19" t="s">
        <v>36</v>
      </c>
      <c r="U788" s="20" t="s">
        <v>604</v>
      </c>
      <c r="V788" s="22">
        <v>43</v>
      </c>
      <c r="W788" s="22">
        <v>1</v>
      </c>
      <c r="X788" s="23"/>
    </row>
    <row r="789" spans="1:24" s="1" customFormat="1" ht="17.100000000000001" customHeight="1" x14ac:dyDescent="0.3">
      <c r="A789" s="24" t="s">
        <v>23</v>
      </c>
      <c r="B789" s="24" t="s">
        <v>1093</v>
      </c>
      <c r="C789" s="12" t="s">
        <v>1094</v>
      </c>
      <c r="D789" s="54"/>
      <c r="E789" s="39" t="str">
        <f t="shared" si="14"/>
        <v>Еще фото</v>
      </c>
      <c r="F789" s="13"/>
      <c r="G789" s="24" t="s">
        <v>808</v>
      </c>
      <c r="H789" s="24" t="s">
        <v>593</v>
      </c>
      <c r="I789" s="24" t="s">
        <v>809</v>
      </c>
      <c r="J789" s="14" t="s">
        <v>29</v>
      </c>
      <c r="K789" s="15" t="s">
        <v>30</v>
      </c>
      <c r="L789" s="57"/>
      <c r="M789" s="14" t="s">
        <v>824</v>
      </c>
      <c r="N789" s="14" t="s">
        <v>125</v>
      </c>
      <c r="O789" s="14"/>
      <c r="P789" s="15" t="s">
        <v>1096</v>
      </c>
      <c r="Q789" s="16">
        <v>18799</v>
      </c>
      <c r="R789" s="17">
        <v>48.84</v>
      </c>
      <c r="S789" s="18">
        <v>11060.4355</v>
      </c>
      <c r="T789" s="19" t="s">
        <v>36</v>
      </c>
      <c r="U789" s="20" t="s">
        <v>605</v>
      </c>
      <c r="V789" s="28">
        <v>43.5</v>
      </c>
      <c r="W789" s="22">
        <v>1</v>
      </c>
      <c r="X789" s="23"/>
    </row>
    <row r="790" spans="1:24" s="1" customFormat="1" ht="21.95" customHeight="1" x14ac:dyDescent="0.3">
      <c r="A790" s="24" t="s">
        <v>23</v>
      </c>
      <c r="B790" s="24" t="s">
        <v>1093</v>
      </c>
      <c r="C790" s="12" t="s">
        <v>1094</v>
      </c>
      <c r="D790" s="55"/>
      <c r="E790" s="39" t="str">
        <f t="shared" si="14"/>
        <v>Еще фото</v>
      </c>
      <c r="F790" s="13"/>
      <c r="G790" s="24" t="s">
        <v>808</v>
      </c>
      <c r="H790" s="24" t="s">
        <v>593</v>
      </c>
      <c r="I790" s="24" t="s">
        <v>809</v>
      </c>
      <c r="J790" s="14" t="s">
        <v>29</v>
      </c>
      <c r="K790" s="15" t="s">
        <v>30</v>
      </c>
      <c r="L790" s="58"/>
      <c r="M790" s="14" t="s">
        <v>824</v>
      </c>
      <c r="N790" s="14" t="s">
        <v>125</v>
      </c>
      <c r="O790" s="14"/>
      <c r="P790" s="15" t="s">
        <v>1096</v>
      </c>
      <c r="Q790" s="16">
        <v>18799</v>
      </c>
      <c r="R790" s="17">
        <v>48.84</v>
      </c>
      <c r="S790" s="18">
        <v>11060.4355</v>
      </c>
      <c r="T790" s="19" t="s">
        <v>36</v>
      </c>
      <c r="U790" s="20" t="s">
        <v>606</v>
      </c>
      <c r="V790" s="22">
        <v>44</v>
      </c>
      <c r="W790" s="22">
        <v>2</v>
      </c>
      <c r="X790" s="23"/>
    </row>
    <row r="791" spans="1:24" s="1" customFormat="1" ht="35.1" customHeight="1" x14ac:dyDescent="0.3">
      <c r="A791" s="11" t="s">
        <v>23</v>
      </c>
      <c r="B791" s="11" t="s">
        <v>1097</v>
      </c>
      <c r="C791" s="12" t="s">
        <v>1098</v>
      </c>
      <c r="D791" s="53"/>
      <c r="E791" s="39" t="str">
        <f>HYPERLINK("https://www.google.ru/search?q=3026518-102&amp;newwindow=1&amp;tbm=isch","Еще фото")</f>
        <v>Еще фото</v>
      </c>
      <c r="F791" s="13" t="s">
        <v>98</v>
      </c>
      <c r="G791" s="11" t="s">
        <v>808</v>
      </c>
      <c r="H791" s="11" t="s">
        <v>593</v>
      </c>
      <c r="I791" s="14" t="s">
        <v>809</v>
      </c>
      <c r="J791" s="14" t="s">
        <v>29</v>
      </c>
      <c r="K791" s="15" t="s">
        <v>30</v>
      </c>
      <c r="L791" s="56" t="s">
        <v>1099</v>
      </c>
      <c r="M791" s="14" t="s">
        <v>811</v>
      </c>
      <c r="N791" s="14" t="s">
        <v>84</v>
      </c>
      <c r="O791" s="14"/>
      <c r="P791" s="15" t="s">
        <v>1100</v>
      </c>
      <c r="Q791" s="16">
        <v>9299</v>
      </c>
      <c r="R791" s="17">
        <v>48.84</v>
      </c>
      <c r="S791" s="18">
        <v>5471.4355000000005</v>
      </c>
      <c r="T791" s="19" t="s">
        <v>36</v>
      </c>
      <c r="U791" s="20" t="s">
        <v>604</v>
      </c>
      <c r="V791" s="22">
        <v>43</v>
      </c>
      <c r="W791" s="22">
        <v>1</v>
      </c>
      <c r="X791" s="23"/>
    </row>
    <row r="792" spans="1:24" s="1" customFormat="1" ht="35.1" customHeight="1" x14ac:dyDescent="0.3">
      <c r="A792" s="24" t="s">
        <v>23</v>
      </c>
      <c r="B792" s="24" t="s">
        <v>1097</v>
      </c>
      <c r="C792" s="12" t="s">
        <v>1098</v>
      </c>
      <c r="D792" s="54"/>
      <c r="E792" s="39" t="str">
        <f>HYPERLINK("https://www.google.ru/search?q=3026518-102&amp;newwindow=1&amp;tbm=isch","Еще фото")</f>
        <v>Еще фото</v>
      </c>
      <c r="F792" s="13" t="s">
        <v>98</v>
      </c>
      <c r="G792" s="24" t="s">
        <v>808</v>
      </c>
      <c r="H792" s="24" t="s">
        <v>593</v>
      </c>
      <c r="I792" s="24" t="s">
        <v>809</v>
      </c>
      <c r="J792" s="14" t="s">
        <v>29</v>
      </c>
      <c r="K792" s="15" t="s">
        <v>30</v>
      </c>
      <c r="L792" s="57"/>
      <c r="M792" s="14" t="s">
        <v>811</v>
      </c>
      <c r="N792" s="14" t="s">
        <v>84</v>
      </c>
      <c r="O792" s="14"/>
      <c r="P792" s="15" t="s">
        <v>1100</v>
      </c>
      <c r="Q792" s="16">
        <v>9299</v>
      </c>
      <c r="R792" s="17">
        <v>48.84</v>
      </c>
      <c r="S792" s="18">
        <v>5471.4355000000005</v>
      </c>
      <c r="T792" s="19" t="s">
        <v>36</v>
      </c>
      <c r="U792" s="20" t="s">
        <v>606</v>
      </c>
      <c r="V792" s="22">
        <v>44</v>
      </c>
      <c r="W792" s="22">
        <v>1</v>
      </c>
      <c r="X792" s="23"/>
    </row>
    <row r="793" spans="1:24" s="1" customFormat="1" ht="36.950000000000003" customHeight="1" x14ac:dyDescent="0.3">
      <c r="A793" s="24" t="s">
        <v>23</v>
      </c>
      <c r="B793" s="24" t="s">
        <v>1097</v>
      </c>
      <c r="C793" s="12" t="s">
        <v>1098</v>
      </c>
      <c r="D793" s="55"/>
      <c r="E793" s="39" t="str">
        <f>HYPERLINK("https://www.google.ru/search?q=3026518-102&amp;newwindow=1&amp;tbm=isch","Еще фото")</f>
        <v>Еще фото</v>
      </c>
      <c r="F793" s="13" t="s">
        <v>98</v>
      </c>
      <c r="G793" s="24" t="s">
        <v>808</v>
      </c>
      <c r="H793" s="24" t="s">
        <v>593</v>
      </c>
      <c r="I793" s="24" t="s">
        <v>809</v>
      </c>
      <c r="J793" s="14" t="s">
        <v>29</v>
      </c>
      <c r="K793" s="15" t="s">
        <v>30</v>
      </c>
      <c r="L793" s="58"/>
      <c r="M793" s="14" t="s">
        <v>811</v>
      </c>
      <c r="N793" s="14" t="s">
        <v>84</v>
      </c>
      <c r="O793" s="14"/>
      <c r="P793" s="15" t="s">
        <v>1100</v>
      </c>
      <c r="Q793" s="16">
        <v>9299</v>
      </c>
      <c r="R793" s="17">
        <v>48.84</v>
      </c>
      <c r="S793" s="18">
        <v>5471.4355000000005</v>
      </c>
      <c r="T793" s="19" t="s">
        <v>36</v>
      </c>
      <c r="U793" s="20" t="s">
        <v>607</v>
      </c>
      <c r="V793" s="28">
        <v>44.5</v>
      </c>
      <c r="W793" s="22">
        <v>1</v>
      </c>
      <c r="X793" s="23"/>
    </row>
    <row r="794" spans="1:24" s="1" customFormat="1" ht="35.1" customHeight="1" x14ac:dyDescent="0.3">
      <c r="A794" s="11" t="s">
        <v>23</v>
      </c>
      <c r="B794" s="11" t="s">
        <v>1101</v>
      </c>
      <c r="C794" s="12" t="s">
        <v>1102</v>
      </c>
      <c r="D794" s="53"/>
      <c r="E794" s="39" t="str">
        <f>HYPERLINK("https://www.google.ru/search?q=3024234-001&amp;newwindow=1&amp;tbm=isch","Еще фото")</f>
        <v>Еще фото</v>
      </c>
      <c r="F794" s="13"/>
      <c r="G794" s="11" t="s">
        <v>808</v>
      </c>
      <c r="H794" s="11" t="s">
        <v>593</v>
      </c>
      <c r="I794" s="14" t="s">
        <v>809</v>
      </c>
      <c r="J794" s="14" t="s">
        <v>29</v>
      </c>
      <c r="K794" s="15" t="s">
        <v>64</v>
      </c>
      <c r="L794" s="56" t="s">
        <v>1103</v>
      </c>
      <c r="M794" s="14" t="s">
        <v>836</v>
      </c>
      <c r="N794" s="14" t="s">
        <v>33</v>
      </c>
      <c r="O794" s="14" t="s">
        <v>34</v>
      </c>
      <c r="P794" s="15" t="s">
        <v>837</v>
      </c>
      <c r="Q794" s="16">
        <v>16999</v>
      </c>
      <c r="R794" s="17">
        <v>48.83</v>
      </c>
      <c r="S794" s="18">
        <v>10002.4355</v>
      </c>
      <c r="T794" s="19" t="s">
        <v>36</v>
      </c>
      <c r="U794" s="20" t="s">
        <v>813</v>
      </c>
      <c r="V794" s="28">
        <v>35.5</v>
      </c>
      <c r="W794" s="22">
        <v>2</v>
      </c>
      <c r="X794" s="23"/>
    </row>
    <row r="795" spans="1:24" s="1" customFormat="1" ht="35.1" customHeight="1" x14ac:dyDescent="0.3">
      <c r="A795" s="24" t="s">
        <v>23</v>
      </c>
      <c r="B795" s="24" t="s">
        <v>1101</v>
      </c>
      <c r="C795" s="12" t="s">
        <v>1102</v>
      </c>
      <c r="D795" s="54"/>
      <c r="E795" s="39" t="str">
        <f>HYPERLINK("https://www.google.ru/search?q=3024234-001&amp;newwindow=1&amp;tbm=isch","Еще фото")</f>
        <v>Еще фото</v>
      </c>
      <c r="F795" s="13"/>
      <c r="G795" s="24" t="s">
        <v>808</v>
      </c>
      <c r="H795" s="24" t="s">
        <v>593</v>
      </c>
      <c r="I795" s="24" t="s">
        <v>809</v>
      </c>
      <c r="J795" s="14" t="s">
        <v>29</v>
      </c>
      <c r="K795" s="15" t="s">
        <v>64</v>
      </c>
      <c r="L795" s="57"/>
      <c r="M795" s="14" t="s">
        <v>836</v>
      </c>
      <c r="N795" s="14" t="s">
        <v>33</v>
      </c>
      <c r="O795" s="14" t="s">
        <v>34</v>
      </c>
      <c r="P795" s="15" t="s">
        <v>837</v>
      </c>
      <c r="Q795" s="16">
        <v>16999</v>
      </c>
      <c r="R795" s="17">
        <v>48.83</v>
      </c>
      <c r="S795" s="18">
        <v>10002.4355</v>
      </c>
      <c r="T795" s="19" t="s">
        <v>36</v>
      </c>
      <c r="U795" s="20" t="s">
        <v>814</v>
      </c>
      <c r="V795" s="28">
        <v>36.5</v>
      </c>
      <c r="W795" s="22">
        <v>2</v>
      </c>
      <c r="X795" s="23"/>
    </row>
    <row r="796" spans="1:24" s="1" customFormat="1" ht="36.950000000000003" customHeight="1" x14ac:dyDescent="0.3">
      <c r="A796" s="24" t="s">
        <v>23</v>
      </c>
      <c r="B796" s="24" t="s">
        <v>1101</v>
      </c>
      <c r="C796" s="12" t="s">
        <v>1102</v>
      </c>
      <c r="D796" s="55"/>
      <c r="E796" s="39" t="str">
        <f>HYPERLINK("https://www.google.ru/search?q=3024234-001&amp;newwindow=1&amp;tbm=isch","Еще фото")</f>
        <v>Еще фото</v>
      </c>
      <c r="F796" s="13"/>
      <c r="G796" s="24" t="s">
        <v>808</v>
      </c>
      <c r="H796" s="24" t="s">
        <v>593</v>
      </c>
      <c r="I796" s="24" t="s">
        <v>809</v>
      </c>
      <c r="J796" s="14" t="s">
        <v>29</v>
      </c>
      <c r="K796" s="15" t="s">
        <v>64</v>
      </c>
      <c r="L796" s="58"/>
      <c r="M796" s="14" t="s">
        <v>836</v>
      </c>
      <c r="N796" s="14" t="s">
        <v>33</v>
      </c>
      <c r="O796" s="14" t="s">
        <v>34</v>
      </c>
      <c r="P796" s="15" t="s">
        <v>837</v>
      </c>
      <c r="Q796" s="16">
        <v>16999</v>
      </c>
      <c r="R796" s="17">
        <v>48.83</v>
      </c>
      <c r="S796" s="18">
        <v>10002.4355</v>
      </c>
      <c r="T796" s="19" t="s">
        <v>36</v>
      </c>
      <c r="U796" s="20" t="s">
        <v>599</v>
      </c>
      <c r="V796" s="28">
        <v>37.5</v>
      </c>
      <c r="W796" s="22">
        <v>2</v>
      </c>
      <c r="X796" s="23"/>
    </row>
    <row r="797" spans="1:24" s="1" customFormat="1" ht="21" customHeight="1" x14ac:dyDescent="0.3">
      <c r="A797" s="11" t="s">
        <v>23</v>
      </c>
      <c r="B797" s="11" t="s">
        <v>1104</v>
      </c>
      <c r="C797" s="26" t="s">
        <v>1105</v>
      </c>
      <c r="D797" s="53"/>
      <c r="E797" s="39" t="str">
        <f>HYPERLINK("https://www.google.ru/search?q=3026136-602&amp;newwindow=1&amp;tbm=isch","Еще фото")</f>
        <v>Еще фото</v>
      </c>
      <c r="F797" s="13"/>
      <c r="G797" s="11" t="s">
        <v>808</v>
      </c>
      <c r="H797" s="11" t="s">
        <v>593</v>
      </c>
      <c r="I797" s="14" t="s">
        <v>809</v>
      </c>
      <c r="J797" s="14" t="s">
        <v>840</v>
      </c>
      <c r="K797" s="15" t="s">
        <v>30</v>
      </c>
      <c r="L797" s="56" t="s">
        <v>1106</v>
      </c>
      <c r="M797" s="14" t="s">
        <v>959</v>
      </c>
      <c r="N797" s="14" t="s">
        <v>670</v>
      </c>
      <c r="O797" s="14"/>
      <c r="P797" s="15" t="s">
        <v>1107</v>
      </c>
      <c r="Q797" s="16">
        <v>15199</v>
      </c>
      <c r="R797" s="17">
        <v>48.83</v>
      </c>
      <c r="S797" s="18">
        <v>8944.4354999999996</v>
      </c>
      <c r="T797" s="19" t="s">
        <v>36</v>
      </c>
      <c r="U797" s="20" t="s">
        <v>599</v>
      </c>
      <c r="V797" s="28">
        <v>39.5</v>
      </c>
      <c r="W797" s="22">
        <v>3</v>
      </c>
      <c r="X797" s="23"/>
    </row>
    <row r="798" spans="1:24" s="1" customFormat="1" ht="21" customHeight="1" x14ac:dyDescent="0.3">
      <c r="A798" s="24" t="s">
        <v>23</v>
      </c>
      <c r="B798" s="24" t="s">
        <v>1104</v>
      </c>
      <c r="C798" s="27" t="s">
        <v>1105</v>
      </c>
      <c r="D798" s="54"/>
      <c r="E798" s="39" t="str">
        <f>HYPERLINK("https://www.google.ru/search?q=3026136-602&amp;newwindow=1&amp;tbm=isch","Еще фото")</f>
        <v>Еще фото</v>
      </c>
      <c r="F798" s="13"/>
      <c r="G798" s="24" t="s">
        <v>808</v>
      </c>
      <c r="H798" s="24" t="s">
        <v>593</v>
      </c>
      <c r="I798" s="24" t="s">
        <v>809</v>
      </c>
      <c r="J798" s="14" t="s">
        <v>840</v>
      </c>
      <c r="K798" s="15" t="s">
        <v>30</v>
      </c>
      <c r="L798" s="57"/>
      <c r="M798" s="14" t="s">
        <v>959</v>
      </c>
      <c r="N798" s="14" t="s">
        <v>670</v>
      </c>
      <c r="O798" s="14"/>
      <c r="P798" s="15" t="s">
        <v>1107</v>
      </c>
      <c r="Q798" s="16">
        <v>15199</v>
      </c>
      <c r="R798" s="17">
        <v>48.83</v>
      </c>
      <c r="S798" s="18">
        <v>8944.4354999999996</v>
      </c>
      <c r="T798" s="19" t="s">
        <v>36</v>
      </c>
      <c r="U798" s="20" t="s">
        <v>600</v>
      </c>
      <c r="V798" s="22">
        <v>40</v>
      </c>
      <c r="W798" s="22">
        <v>4</v>
      </c>
      <c r="X798" s="23"/>
    </row>
    <row r="799" spans="1:24" s="1" customFormat="1" ht="21" customHeight="1" x14ac:dyDescent="0.3">
      <c r="A799" s="24" t="s">
        <v>23</v>
      </c>
      <c r="B799" s="24" t="s">
        <v>1104</v>
      </c>
      <c r="C799" s="27" t="s">
        <v>1105</v>
      </c>
      <c r="D799" s="54"/>
      <c r="E799" s="39" t="str">
        <f>HYPERLINK("https://www.google.ru/search?q=3026136-602&amp;newwindow=1&amp;tbm=isch","Еще фото")</f>
        <v>Еще фото</v>
      </c>
      <c r="F799" s="13"/>
      <c r="G799" s="24" t="s">
        <v>808</v>
      </c>
      <c r="H799" s="24" t="s">
        <v>593</v>
      </c>
      <c r="I799" s="24" t="s">
        <v>809</v>
      </c>
      <c r="J799" s="14" t="s">
        <v>840</v>
      </c>
      <c r="K799" s="15" t="s">
        <v>30</v>
      </c>
      <c r="L799" s="57"/>
      <c r="M799" s="14" t="s">
        <v>959</v>
      </c>
      <c r="N799" s="14" t="s">
        <v>670</v>
      </c>
      <c r="O799" s="14"/>
      <c r="P799" s="15" t="s">
        <v>1107</v>
      </c>
      <c r="Q799" s="16">
        <v>15199</v>
      </c>
      <c r="R799" s="17">
        <v>48.83</v>
      </c>
      <c r="S799" s="18">
        <v>8944.4354999999996</v>
      </c>
      <c r="T799" s="19" t="s">
        <v>36</v>
      </c>
      <c r="U799" s="20" t="s">
        <v>601</v>
      </c>
      <c r="V799" s="22">
        <v>41</v>
      </c>
      <c r="W799" s="22">
        <v>4</v>
      </c>
      <c r="X799" s="23"/>
    </row>
    <row r="800" spans="1:24" s="1" customFormat="1" ht="21" customHeight="1" x14ac:dyDescent="0.3">
      <c r="A800" s="24" t="s">
        <v>23</v>
      </c>
      <c r="B800" s="24" t="s">
        <v>1104</v>
      </c>
      <c r="C800" s="27" t="s">
        <v>1105</v>
      </c>
      <c r="D800" s="54"/>
      <c r="E800" s="39" t="str">
        <f>HYPERLINK("https://www.google.ru/search?q=3026136-602&amp;newwindow=1&amp;tbm=isch","Еще фото")</f>
        <v>Еще фото</v>
      </c>
      <c r="F800" s="13"/>
      <c r="G800" s="24" t="s">
        <v>808</v>
      </c>
      <c r="H800" s="24" t="s">
        <v>593</v>
      </c>
      <c r="I800" s="24" t="s">
        <v>809</v>
      </c>
      <c r="J800" s="14" t="s">
        <v>840</v>
      </c>
      <c r="K800" s="15" t="s">
        <v>30</v>
      </c>
      <c r="L800" s="57"/>
      <c r="M800" s="14" t="s">
        <v>959</v>
      </c>
      <c r="N800" s="14" t="s">
        <v>670</v>
      </c>
      <c r="O800" s="14"/>
      <c r="P800" s="15" t="s">
        <v>1107</v>
      </c>
      <c r="Q800" s="16">
        <v>15199</v>
      </c>
      <c r="R800" s="17">
        <v>48.83</v>
      </c>
      <c r="S800" s="18">
        <v>8944.4354999999996</v>
      </c>
      <c r="T800" s="19" t="s">
        <v>36</v>
      </c>
      <c r="U800" s="20" t="s">
        <v>602</v>
      </c>
      <c r="V800" s="28">
        <v>41.5</v>
      </c>
      <c r="W800" s="22">
        <v>5</v>
      </c>
      <c r="X800" s="23"/>
    </row>
    <row r="801" spans="1:24" s="1" customFormat="1" ht="32.1" customHeight="1" x14ac:dyDescent="0.3">
      <c r="A801" s="24" t="s">
        <v>23</v>
      </c>
      <c r="B801" s="24" t="s">
        <v>1104</v>
      </c>
      <c r="C801" s="27" t="s">
        <v>1105</v>
      </c>
      <c r="D801" s="55"/>
      <c r="E801" s="39" t="str">
        <f>HYPERLINK("https://www.google.ru/search?q=3026136-602&amp;newwindow=1&amp;tbm=isch","Еще фото")</f>
        <v>Еще фото</v>
      </c>
      <c r="F801" s="13"/>
      <c r="G801" s="24" t="s">
        <v>808</v>
      </c>
      <c r="H801" s="24" t="s">
        <v>593</v>
      </c>
      <c r="I801" s="24" t="s">
        <v>809</v>
      </c>
      <c r="J801" s="14" t="s">
        <v>840</v>
      </c>
      <c r="K801" s="15" t="s">
        <v>30</v>
      </c>
      <c r="L801" s="58"/>
      <c r="M801" s="14" t="s">
        <v>959</v>
      </c>
      <c r="N801" s="14" t="s">
        <v>670</v>
      </c>
      <c r="O801" s="14"/>
      <c r="P801" s="15" t="s">
        <v>1107</v>
      </c>
      <c r="Q801" s="16">
        <v>15199</v>
      </c>
      <c r="R801" s="17">
        <v>48.83</v>
      </c>
      <c r="S801" s="18">
        <v>8944.4354999999996</v>
      </c>
      <c r="T801" s="19" t="s">
        <v>36</v>
      </c>
      <c r="U801" s="20" t="s">
        <v>603</v>
      </c>
      <c r="V801" s="22">
        <v>42</v>
      </c>
      <c r="W801" s="22">
        <v>5</v>
      </c>
      <c r="X801" s="23"/>
    </row>
    <row r="802" spans="1:24" s="1" customFormat="1" ht="26.1" customHeight="1" x14ac:dyDescent="0.3">
      <c r="A802" s="11" t="s">
        <v>23</v>
      </c>
      <c r="B802" s="11" t="s">
        <v>1108</v>
      </c>
      <c r="C802" s="12" t="s">
        <v>1109</v>
      </c>
      <c r="D802" s="53"/>
      <c r="E802" s="39" t="str">
        <f>HYPERLINK("https://www.google.ru/search?q=3027187-200&amp;newwindow=1&amp;tbm=isch","Еще фото")</f>
        <v>Еще фото</v>
      </c>
      <c r="F802" s="13"/>
      <c r="G802" s="11" t="s">
        <v>808</v>
      </c>
      <c r="H802" s="11" t="s">
        <v>593</v>
      </c>
      <c r="I802" s="14" t="s">
        <v>809</v>
      </c>
      <c r="J802" s="14" t="s">
        <v>29</v>
      </c>
      <c r="K802" s="15" t="s">
        <v>30</v>
      </c>
      <c r="L802" s="56" t="s">
        <v>1110</v>
      </c>
      <c r="M802" s="14" t="s">
        <v>824</v>
      </c>
      <c r="N802" s="14" t="s">
        <v>215</v>
      </c>
      <c r="O802" s="14"/>
      <c r="P802" s="15" t="s">
        <v>923</v>
      </c>
      <c r="Q802" s="16">
        <v>15999</v>
      </c>
      <c r="R802" s="17">
        <v>48.82</v>
      </c>
      <c r="S802" s="18">
        <v>9415.9354999999996</v>
      </c>
      <c r="T802" s="19" t="s">
        <v>36</v>
      </c>
      <c r="U802" s="20" t="s">
        <v>600</v>
      </c>
      <c r="V802" s="22">
        <v>40</v>
      </c>
      <c r="W802" s="22">
        <v>2</v>
      </c>
      <c r="X802" s="23"/>
    </row>
    <row r="803" spans="1:24" s="1" customFormat="1" ht="26.1" customHeight="1" x14ac:dyDescent="0.3">
      <c r="A803" s="24" t="s">
        <v>23</v>
      </c>
      <c r="B803" s="24" t="s">
        <v>1108</v>
      </c>
      <c r="C803" s="12" t="s">
        <v>1109</v>
      </c>
      <c r="D803" s="54"/>
      <c r="E803" s="39" t="str">
        <f>HYPERLINK("https://www.google.ru/search?q=3027187-200&amp;newwindow=1&amp;tbm=isch","Еще фото")</f>
        <v>Еще фото</v>
      </c>
      <c r="F803" s="13"/>
      <c r="G803" s="24" t="s">
        <v>808</v>
      </c>
      <c r="H803" s="24" t="s">
        <v>593</v>
      </c>
      <c r="I803" s="24" t="s">
        <v>809</v>
      </c>
      <c r="J803" s="14" t="s">
        <v>29</v>
      </c>
      <c r="K803" s="15" t="s">
        <v>30</v>
      </c>
      <c r="L803" s="57"/>
      <c r="M803" s="14" t="s">
        <v>824</v>
      </c>
      <c r="N803" s="14" t="s">
        <v>215</v>
      </c>
      <c r="O803" s="14"/>
      <c r="P803" s="15" t="s">
        <v>923</v>
      </c>
      <c r="Q803" s="16">
        <v>15999</v>
      </c>
      <c r="R803" s="17">
        <v>48.82</v>
      </c>
      <c r="S803" s="18">
        <v>9415.9354999999996</v>
      </c>
      <c r="T803" s="19" t="s">
        <v>36</v>
      </c>
      <c r="U803" s="20" t="s">
        <v>601</v>
      </c>
      <c r="V803" s="22">
        <v>41</v>
      </c>
      <c r="W803" s="22">
        <v>1</v>
      </c>
      <c r="X803" s="23"/>
    </row>
    <row r="804" spans="1:24" s="1" customFormat="1" ht="26.1" customHeight="1" x14ac:dyDescent="0.3">
      <c r="A804" s="24" t="s">
        <v>23</v>
      </c>
      <c r="B804" s="24" t="s">
        <v>1108</v>
      </c>
      <c r="C804" s="12" t="s">
        <v>1109</v>
      </c>
      <c r="D804" s="54"/>
      <c r="E804" s="39" t="str">
        <f>HYPERLINK("https://www.google.ru/search?q=3027187-200&amp;newwindow=1&amp;tbm=isch","Еще фото")</f>
        <v>Еще фото</v>
      </c>
      <c r="F804" s="13"/>
      <c r="G804" s="24" t="s">
        <v>808</v>
      </c>
      <c r="H804" s="24" t="s">
        <v>593</v>
      </c>
      <c r="I804" s="24" t="s">
        <v>809</v>
      </c>
      <c r="J804" s="14" t="s">
        <v>29</v>
      </c>
      <c r="K804" s="15" t="s">
        <v>30</v>
      </c>
      <c r="L804" s="57"/>
      <c r="M804" s="14" t="s">
        <v>824</v>
      </c>
      <c r="N804" s="14" t="s">
        <v>215</v>
      </c>
      <c r="O804" s="14"/>
      <c r="P804" s="15" t="s">
        <v>923</v>
      </c>
      <c r="Q804" s="16">
        <v>15999</v>
      </c>
      <c r="R804" s="17">
        <v>48.82</v>
      </c>
      <c r="S804" s="18">
        <v>9415.9354999999996</v>
      </c>
      <c r="T804" s="19" t="s">
        <v>36</v>
      </c>
      <c r="U804" s="20" t="s">
        <v>602</v>
      </c>
      <c r="V804" s="28">
        <v>41.5</v>
      </c>
      <c r="W804" s="22">
        <v>1</v>
      </c>
      <c r="X804" s="23"/>
    </row>
    <row r="805" spans="1:24" s="1" customFormat="1" ht="26.1" customHeight="1" x14ac:dyDescent="0.3">
      <c r="A805" s="24" t="s">
        <v>23</v>
      </c>
      <c r="B805" s="24" t="s">
        <v>1108</v>
      </c>
      <c r="C805" s="12" t="s">
        <v>1109</v>
      </c>
      <c r="D805" s="55"/>
      <c r="E805" s="39" t="str">
        <f>HYPERLINK("https://www.google.ru/search?q=3027187-200&amp;newwindow=1&amp;tbm=isch","Еще фото")</f>
        <v>Еще фото</v>
      </c>
      <c r="F805" s="13"/>
      <c r="G805" s="24" t="s">
        <v>808</v>
      </c>
      <c r="H805" s="24" t="s">
        <v>593</v>
      </c>
      <c r="I805" s="24" t="s">
        <v>809</v>
      </c>
      <c r="J805" s="14" t="s">
        <v>29</v>
      </c>
      <c r="K805" s="15" t="s">
        <v>30</v>
      </c>
      <c r="L805" s="58"/>
      <c r="M805" s="14" t="s">
        <v>824</v>
      </c>
      <c r="N805" s="14" t="s">
        <v>215</v>
      </c>
      <c r="O805" s="14"/>
      <c r="P805" s="15" t="s">
        <v>923</v>
      </c>
      <c r="Q805" s="16">
        <v>15999</v>
      </c>
      <c r="R805" s="17">
        <v>48.82</v>
      </c>
      <c r="S805" s="18">
        <v>9415.9354999999996</v>
      </c>
      <c r="T805" s="19" t="s">
        <v>36</v>
      </c>
      <c r="U805" s="20" t="s">
        <v>607</v>
      </c>
      <c r="V805" s="28">
        <v>44.5</v>
      </c>
      <c r="W805" s="22">
        <v>1</v>
      </c>
      <c r="X805" s="23"/>
    </row>
    <row r="806" spans="1:24" s="1" customFormat="1" ht="108" customHeight="1" x14ac:dyDescent="0.3">
      <c r="A806" s="11" t="s">
        <v>23</v>
      </c>
      <c r="B806" s="11" t="s">
        <v>1111</v>
      </c>
      <c r="C806" s="12" t="s">
        <v>1112</v>
      </c>
      <c r="D806" s="25"/>
      <c r="E806" s="39" t="str">
        <f>HYPERLINK("https://www.google.ru/search?q=3028254-002&amp;newwindow=1&amp;tbm=isch","Еще фото")</f>
        <v>Еще фото</v>
      </c>
      <c r="F806" s="13" t="s">
        <v>98</v>
      </c>
      <c r="G806" s="11" t="s">
        <v>808</v>
      </c>
      <c r="H806" s="11" t="s">
        <v>593</v>
      </c>
      <c r="I806" s="14" t="s">
        <v>809</v>
      </c>
      <c r="J806" s="14" t="s">
        <v>29</v>
      </c>
      <c r="K806" s="15" t="s">
        <v>30</v>
      </c>
      <c r="L806" s="14" t="s">
        <v>1113</v>
      </c>
      <c r="M806" s="14"/>
      <c r="N806" s="14" t="s">
        <v>33</v>
      </c>
      <c r="O806" s="14"/>
      <c r="P806" s="15" t="s">
        <v>597</v>
      </c>
      <c r="Q806" s="16">
        <v>9199</v>
      </c>
      <c r="R806" s="17">
        <v>48.82</v>
      </c>
      <c r="S806" s="18">
        <v>5413.9355000000005</v>
      </c>
      <c r="T806" s="19" t="s">
        <v>36</v>
      </c>
      <c r="U806" s="20" t="s">
        <v>599</v>
      </c>
      <c r="V806" s="28">
        <v>39.5</v>
      </c>
      <c r="W806" s="22">
        <v>1</v>
      </c>
      <c r="X806" s="23"/>
    </row>
    <row r="807" spans="1:24" s="1" customFormat="1" ht="14.1" customHeight="1" x14ac:dyDescent="0.3">
      <c r="A807" s="11" t="s">
        <v>23</v>
      </c>
      <c r="B807" s="11" t="s">
        <v>1114</v>
      </c>
      <c r="C807" s="12" t="s">
        <v>1115</v>
      </c>
      <c r="D807" s="53"/>
      <c r="E807" s="39" t="str">
        <f t="shared" ref="E807:E813" si="15">HYPERLINK("https://www.google.ru/search?q=3024738-001&amp;newwindow=1&amp;tbm=isch","Еще фото")</f>
        <v>Еще фото</v>
      </c>
      <c r="F807" s="13"/>
      <c r="G807" s="11" t="s">
        <v>808</v>
      </c>
      <c r="H807" s="11" t="s">
        <v>593</v>
      </c>
      <c r="I807" s="14" t="s">
        <v>809</v>
      </c>
      <c r="J807" s="14" t="s">
        <v>29</v>
      </c>
      <c r="K807" s="15" t="s">
        <v>30</v>
      </c>
      <c r="L807" s="56" t="s">
        <v>1116</v>
      </c>
      <c r="M807" s="14" t="s">
        <v>824</v>
      </c>
      <c r="N807" s="14" t="s">
        <v>33</v>
      </c>
      <c r="O807" s="14" t="s">
        <v>34</v>
      </c>
      <c r="P807" s="15" t="s">
        <v>1117</v>
      </c>
      <c r="Q807" s="16">
        <v>14999</v>
      </c>
      <c r="R807" s="17">
        <v>48.81</v>
      </c>
      <c r="S807" s="18">
        <v>8829.4354999999996</v>
      </c>
      <c r="T807" s="19" t="s">
        <v>36</v>
      </c>
      <c r="U807" s="20" t="s">
        <v>598</v>
      </c>
      <c r="V807" s="22">
        <v>39</v>
      </c>
      <c r="W807" s="22">
        <v>1</v>
      </c>
      <c r="X807" s="23"/>
    </row>
    <row r="808" spans="1:24" s="1" customFormat="1" ht="14.1" customHeight="1" x14ac:dyDescent="0.3">
      <c r="A808" s="24" t="s">
        <v>23</v>
      </c>
      <c r="B808" s="24" t="s">
        <v>1114</v>
      </c>
      <c r="C808" s="12" t="s">
        <v>1115</v>
      </c>
      <c r="D808" s="54"/>
      <c r="E808" s="39" t="str">
        <f t="shared" si="15"/>
        <v>Еще фото</v>
      </c>
      <c r="F808" s="13"/>
      <c r="G808" s="24" t="s">
        <v>808</v>
      </c>
      <c r="H808" s="24" t="s">
        <v>593</v>
      </c>
      <c r="I808" s="24" t="s">
        <v>809</v>
      </c>
      <c r="J808" s="14" t="s">
        <v>29</v>
      </c>
      <c r="K808" s="15" t="s">
        <v>30</v>
      </c>
      <c r="L808" s="57"/>
      <c r="M808" s="14" t="s">
        <v>824</v>
      </c>
      <c r="N808" s="14" t="s">
        <v>33</v>
      </c>
      <c r="O808" s="14" t="s">
        <v>34</v>
      </c>
      <c r="P808" s="15" t="s">
        <v>1117</v>
      </c>
      <c r="Q808" s="16">
        <v>14999</v>
      </c>
      <c r="R808" s="17">
        <v>48.81</v>
      </c>
      <c r="S808" s="18">
        <v>8829.4354999999996</v>
      </c>
      <c r="T808" s="19" t="s">
        <v>36</v>
      </c>
      <c r="U808" s="20" t="s">
        <v>599</v>
      </c>
      <c r="V808" s="28">
        <v>39.5</v>
      </c>
      <c r="W808" s="22">
        <v>2</v>
      </c>
      <c r="X808" s="23"/>
    </row>
    <row r="809" spans="1:24" s="1" customFormat="1" ht="14.1" customHeight="1" x14ac:dyDescent="0.3">
      <c r="A809" s="24" t="s">
        <v>23</v>
      </c>
      <c r="B809" s="24" t="s">
        <v>1114</v>
      </c>
      <c r="C809" s="12" t="s">
        <v>1115</v>
      </c>
      <c r="D809" s="54"/>
      <c r="E809" s="39" t="str">
        <f t="shared" si="15"/>
        <v>Еще фото</v>
      </c>
      <c r="F809" s="13"/>
      <c r="G809" s="24" t="s">
        <v>808</v>
      </c>
      <c r="H809" s="24" t="s">
        <v>593</v>
      </c>
      <c r="I809" s="24" t="s">
        <v>809</v>
      </c>
      <c r="J809" s="14" t="s">
        <v>29</v>
      </c>
      <c r="K809" s="15" t="s">
        <v>30</v>
      </c>
      <c r="L809" s="57"/>
      <c r="M809" s="14" t="s">
        <v>824</v>
      </c>
      <c r="N809" s="14" t="s">
        <v>33</v>
      </c>
      <c r="O809" s="14" t="s">
        <v>34</v>
      </c>
      <c r="P809" s="15" t="s">
        <v>1117</v>
      </c>
      <c r="Q809" s="16">
        <v>14999</v>
      </c>
      <c r="R809" s="17">
        <v>48.81</v>
      </c>
      <c r="S809" s="18">
        <v>8829.4354999999996</v>
      </c>
      <c r="T809" s="19" t="s">
        <v>36</v>
      </c>
      <c r="U809" s="20" t="s">
        <v>600</v>
      </c>
      <c r="V809" s="22">
        <v>40</v>
      </c>
      <c r="W809" s="22">
        <v>11</v>
      </c>
      <c r="X809" s="23"/>
    </row>
    <row r="810" spans="1:24" s="1" customFormat="1" ht="14.1" customHeight="1" x14ac:dyDescent="0.3">
      <c r="A810" s="24" t="s">
        <v>23</v>
      </c>
      <c r="B810" s="24" t="s">
        <v>1114</v>
      </c>
      <c r="C810" s="12" t="s">
        <v>1115</v>
      </c>
      <c r="D810" s="54"/>
      <c r="E810" s="39" t="str">
        <f t="shared" si="15"/>
        <v>Еще фото</v>
      </c>
      <c r="F810" s="13"/>
      <c r="G810" s="24" t="s">
        <v>808</v>
      </c>
      <c r="H810" s="24" t="s">
        <v>593</v>
      </c>
      <c r="I810" s="24" t="s">
        <v>809</v>
      </c>
      <c r="J810" s="14" t="s">
        <v>29</v>
      </c>
      <c r="K810" s="15" t="s">
        <v>30</v>
      </c>
      <c r="L810" s="57"/>
      <c r="M810" s="14" t="s">
        <v>824</v>
      </c>
      <c r="N810" s="14" t="s">
        <v>33</v>
      </c>
      <c r="O810" s="14" t="s">
        <v>34</v>
      </c>
      <c r="P810" s="15" t="s">
        <v>1117</v>
      </c>
      <c r="Q810" s="16">
        <v>14999</v>
      </c>
      <c r="R810" s="17">
        <v>48.81</v>
      </c>
      <c r="S810" s="18">
        <v>8829.4354999999996</v>
      </c>
      <c r="T810" s="19" t="s">
        <v>36</v>
      </c>
      <c r="U810" s="20" t="s">
        <v>601</v>
      </c>
      <c r="V810" s="22">
        <v>41</v>
      </c>
      <c r="W810" s="22">
        <v>12</v>
      </c>
      <c r="X810" s="23"/>
    </row>
    <row r="811" spans="1:24" s="1" customFormat="1" ht="14.1" customHeight="1" x14ac:dyDescent="0.3">
      <c r="A811" s="24" t="s">
        <v>23</v>
      </c>
      <c r="B811" s="24" t="s">
        <v>1114</v>
      </c>
      <c r="C811" s="12" t="s">
        <v>1115</v>
      </c>
      <c r="D811" s="54"/>
      <c r="E811" s="39" t="str">
        <f t="shared" si="15"/>
        <v>Еще фото</v>
      </c>
      <c r="F811" s="13"/>
      <c r="G811" s="24" t="s">
        <v>808</v>
      </c>
      <c r="H811" s="24" t="s">
        <v>593</v>
      </c>
      <c r="I811" s="24" t="s">
        <v>809</v>
      </c>
      <c r="J811" s="14" t="s">
        <v>29</v>
      </c>
      <c r="K811" s="15" t="s">
        <v>30</v>
      </c>
      <c r="L811" s="57"/>
      <c r="M811" s="14" t="s">
        <v>824</v>
      </c>
      <c r="N811" s="14" t="s">
        <v>33</v>
      </c>
      <c r="O811" s="14" t="s">
        <v>34</v>
      </c>
      <c r="P811" s="15" t="s">
        <v>1117</v>
      </c>
      <c r="Q811" s="16">
        <v>14999</v>
      </c>
      <c r="R811" s="17">
        <v>48.81</v>
      </c>
      <c r="S811" s="18">
        <v>8829.4354999999996</v>
      </c>
      <c r="T811" s="19" t="s">
        <v>36</v>
      </c>
      <c r="U811" s="20" t="s">
        <v>602</v>
      </c>
      <c r="V811" s="28">
        <v>41.5</v>
      </c>
      <c r="W811" s="22">
        <v>5</v>
      </c>
      <c r="X811" s="23"/>
    </row>
    <row r="812" spans="1:24" s="1" customFormat="1" ht="14.1" customHeight="1" x14ac:dyDescent="0.3">
      <c r="A812" s="24" t="s">
        <v>23</v>
      </c>
      <c r="B812" s="24" t="s">
        <v>1114</v>
      </c>
      <c r="C812" s="12" t="s">
        <v>1115</v>
      </c>
      <c r="D812" s="54"/>
      <c r="E812" s="39" t="str">
        <f t="shared" si="15"/>
        <v>Еще фото</v>
      </c>
      <c r="F812" s="13"/>
      <c r="G812" s="24" t="s">
        <v>808</v>
      </c>
      <c r="H812" s="24" t="s">
        <v>593</v>
      </c>
      <c r="I812" s="24" t="s">
        <v>809</v>
      </c>
      <c r="J812" s="14" t="s">
        <v>29</v>
      </c>
      <c r="K812" s="15" t="s">
        <v>30</v>
      </c>
      <c r="L812" s="57"/>
      <c r="M812" s="14" t="s">
        <v>824</v>
      </c>
      <c r="N812" s="14" t="s">
        <v>33</v>
      </c>
      <c r="O812" s="14" t="s">
        <v>34</v>
      </c>
      <c r="P812" s="15" t="s">
        <v>1117</v>
      </c>
      <c r="Q812" s="16">
        <v>14999</v>
      </c>
      <c r="R812" s="17">
        <v>48.81</v>
      </c>
      <c r="S812" s="18">
        <v>8829.4354999999996</v>
      </c>
      <c r="T812" s="19" t="s">
        <v>36</v>
      </c>
      <c r="U812" s="20" t="s">
        <v>604</v>
      </c>
      <c r="V812" s="22">
        <v>43</v>
      </c>
      <c r="W812" s="22">
        <v>1</v>
      </c>
      <c r="X812" s="23"/>
    </row>
    <row r="813" spans="1:24" s="1" customFormat="1" ht="17.100000000000001" customHeight="1" x14ac:dyDescent="0.3">
      <c r="A813" s="24" t="s">
        <v>23</v>
      </c>
      <c r="B813" s="24" t="s">
        <v>1114</v>
      </c>
      <c r="C813" s="12" t="s">
        <v>1115</v>
      </c>
      <c r="D813" s="55"/>
      <c r="E813" s="39" t="str">
        <f t="shared" si="15"/>
        <v>Еще фото</v>
      </c>
      <c r="F813" s="13"/>
      <c r="G813" s="24" t="s">
        <v>808</v>
      </c>
      <c r="H813" s="24" t="s">
        <v>593</v>
      </c>
      <c r="I813" s="24" t="s">
        <v>809</v>
      </c>
      <c r="J813" s="14" t="s">
        <v>29</v>
      </c>
      <c r="K813" s="15" t="s">
        <v>30</v>
      </c>
      <c r="L813" s="58"/>
      <c r="M813" s="14" t="s">
        <v>824</v>
      </c>
      <c r="N813" s="14" t="s">
        <v>33</v>
      </c>
      <c r="O813" s="14" t="s">
        <v>34</v>
      </c>
      <c r="P813" s="15" t="s">
        <v>1117</v>
      </c>
      <c r="Q813" s="16">
        <v>14999</v>
      </c>
      <c r="R813" s="17">
        <v>48.81</v>
      </c>
      <c r="S813" s="18">
        <v>8829.4354999999996</v>
      </c>
      <c r="T813" s="19" t="s">
        <v>36</v>
      </c>
      <c r="U813" s="20" t="s">
        <v>606</v>
      </c>
      <c r="V813" s="22">
        <v>44</v>
      </c>
      <c r="W813" s="22">
        <v>1</v>
      </c>
      <c r="X813" s="23"/>
    </row>
    <row r="814" spans="1:24" s="1" customFormat="1" ht="11.1" customHeight="1" x14ac:dyDescent="0.3">
      <c r="A814" s="11" t="s">
        <v>23</v>
      </c>
      <c r="B814" s="11" t="s">
        <v>1118</v>
      </c>
      <c r="C814" s="12" t="s">
        <v>1119</v>
      </c>
      <c r="D814" s="53"/>
      <c r="E814" s="39" t="str">
        <f t="shared" ref="E814:E823" si="16">HYPERLINK("https://www.google.ru/search?q=3027679-001&amp;newwindow=1&amp;tbm=isch","Еще фото")</f>
        <v>Еще фото</v>
      </c>
      <c r="F814" s="13" t="s">
        <v>98</v>
      </c>
      <c r="G814" s="11" t="s">
        <v>592</v>
      </c>
      <c r="H814" s="11" t="s">
        <v>593</v>
      </c>
      <c r="I814" s="14" t="s">
        <v>809</v>
      </c>
      <c r="J814" s="14" t="s">
        <v>595</v>
      </c>
      <c r="K814" s="15" t="s">
        <v>30</v>
      </c>
      <c r="L814" s="56" t="s">
        <v>1120</v>
      </c>
      <c r="M814" s="14"/>
      <c r="N814" s="14" t="s">
        <v>33</v>
      </c>
      <c r="O814" s="14"/>
      <c r="P814" s="15" t="s">
        <v>1121</v>
      </c>
      <c r="Q814" s="16">
        <v>23399</v>
      </c>
      <c r="R814" s="17">
        <v>46.97</v>
      </c>
      <c r="S814" s="18">
        <v>14268.9355</v>
      </c>
      <c r="T814" s="19" t="s">
        <v>36</v>
      </c>
      <c r="U814" s="20" t="s">
        <v>598</v>
      </c>
      <c r="V814" s="22">
        <v>39</v>
      </c>
      <c r="W814" s="22">
        <v>3</v>
      </c>
      <c r="X814" s="23"/>
    </row>
    <row r="815" spans="1:24" s="1" customFormat="1" ht="11.1" customHeight="1" x14ac:dyDescent="0.3">
      <c r="A815" s="24" t="s">
        <v>23</v>
      </c>
      <c r="B815" s="24" t="s">
        <v>1118</v>
      </c>
      <c r="C815" s="12" t="s">
        <v>1119</v>
      </c>
      <c r="D815" s="54"/>
      <c r="E815" s="39" t="str">
        <f t="shared" si="16"/>
        <v>Еще фото</v>
      </c>
      <c r="F815" s="13" t="s">
        <v>98</v>
      </c>
      <c r="G815" s="24" t="s">
        <v>592</v>
      </c>
      <c r="H815" s="24" t="s">
        <v>593</v>
      </c>
      <c r="I815" s="24" t="s">
        <v>809</v>
      </c>
      <c r="J815" s="14" t="s">
        <v>595</v>
      </c>
      <c r="K815" s="15" t="s">
        <v>30</v>
      </c>
      <c r="L815" s="57"/>
      <c r="M815" s="14"/>
      <c r="N815" s="14" t="s">
        <v>33</v>
      </c>
      <c r="O815" s="14"/>
      <c r="P815" s="15" t="s">
        <v>1121</v>
      </c>
      <c r="Q815" s="16">
        <v>23399</v>
      </c>
      <c r="R815" s="17">
        <v>46.97</v>
      </c>
      <c r="S815" s="18">
        <v>14268.9355</v>
      </c>
      <c r="T815" s="19" t="s">
        <v>36</v>
      </c>
      <c r="U815" s="20" t="s">
        <v>599</v>
      </c>
      <c r="V815" s="28">
        <v>39.5</v>
      </c>
      <c r="W815" s="22">
        <v>4</v>
      </c>
      <c r="X815" s="23"/>
    </row>
    <row r="816" spans="1:24" s="1" customFormat="1" ht="11.1" customHeight="1" x14ac:dyDescent="0.3">
      <c r="A816" s="24" t="s">
        <v>23</v>
      </c>
      <c r="B816" s="24" t="s">
        <v>1118</v>
      </c>
      <c r="C816" s="12" t="s">
        <v>1119</v>
      </c>
      <c r="D816" s="54"/>
      <c r="E816" s="39" t="str">
        <f t="shared" si="16"/>
        <v>Еще фото</v>
      </c>
      <c r="F816" s="13" t="s">
        <v>98</v>
      </c>
      <c r="G816" s="24" t="s">
        <v>592</v>
      </c>
      <c r="H816" s="24" t="s">
        <v>593</v>
      </c>
      <c r="I816" s="24" t="s">
        <v>809</v>
      </c>
      <c r="J816" s="14" t="s">
        <v>595</v>
      </c>
      <c r="K816" s="15" t="s">
        <v>30</v>
      </c>
      <c r="L816" s="57"/>
      <c r="M816" s="14"/>
      <c r="N816" s="14" t="s">
        <v>33</v>
      </c>
      <c r="O816" s="14"/>
      <c r="P816" s="15" t="s">
        <v>1121</v>
      </c>
      <c r="Q816" s="16">
        <v>23399</v>
      </c>
      <c r="R816" s="17">
        <v>46.97</v>
      </c>
      <c r="S816" s="18">
        <v>14268.9355</v>
      </c>
      <c r="T816" s="19" t="s">
        <v>36</v>
      </c>
      <c r="U816" s="20" t="s">
        <v>600</v>
      </c>
      <c r="V816" s="22">
        <v>40</v>
      </c>
      <c r="W816" s="22">
        <v>6</v>
      </c>
      <c r="X816" s="23"/>
    </row>
    <row r="817" spans="1:24" s="1" customFormat="1" ht="11.1" customHeight="1" x14ac:dyDescent="0.3">
      <c r="A817" s="24" t="s">
        <v>23</v>
      </c>
      <c r="B817" s="24" t="s">
        <v>1118</v>
      </c>
      <c r="C817" s="12" t="s">
        <v>1119</v>
      </c>
      <c r="D817" s="54"/>
      <c r="E817" s="39" t="str">
        <f t="shared" si="16"/>
        <v>Еще фото</v>
      </c>
      <c r="F817" s="13" t="s">
        <v>98</v>
      </c>
      <c r="G817" s="24" t="s">
        <v>592</v>
      </c>
      <c r="H817" s="24" t="s">
        <v>593</v>
      </c>
      <c r="I817" s="24" t="s">
        <v>809</v>
      </c>
      <c r="J817" s="14" t="s">
        <v>595</v>
      </c>
      <c r="K817" s="15" t="s">
        <v>30</v>
      </c>
      <c r="L817" s="57"/>
      <c r="M817" s="14"/>
      <c r="N817" s="14" t="s">
        <v>33</v>
      </c>
      <c r="O817" s="14"/>
      <c r="P817" s="15" t="s">
        <v>1121</v>
      </c>
      <c r="Q817" s="16">
        <v>23399</v>
      </c>
      <c r="R817" s="17">
        <v>46.97</v>
      </c>
      <c r="S817" s="18">
        <v>14268.9355</v>
      </c>
      <c r="T817" s="19" t="s">
        <v>36</v>
      </c>
      <c r="U817" s="20" t="s">
        <v>601</v>
      </c>
      <c r="V817" s="22">
        <v>41</v>
      </c>
      <c r="W817" s="22">
        <v>6</v>
      </c>
      <c r="X817" s="23"/>
    </row>
    <row r="818" spans="1:24" s="1" customFormat="1" ht="11.1" customHeight="1" x14ac:dyDescent="0.3">
      <c r="A818" s="24" t="s">
        <v>23</v>
      </c>
      <c r="B818" s="24" t="s">
        <v>1118</v>
      </c>
      <c r="C818" s="12" t="s">
        <v>1119</v>
      </c>
      <c r="D818" s="54"/>
      <c r="E818" s="39" t="str">
        <f t="shared" si="16"/>
        <v>Еще фото</v>
      </c>
      <c r="F818" s="13" t="s">
        <v>98</v>
      </c>
      <c r="G818" s="24" t="s">
        <v>592</v>
      </c>
      <c r="H818" s="24" t="s">
        <v>593</v>
      </c>
      <c r="I818" s="24" t="s">
        <v>809</v>
      </c>
      <c r="J818" s="14" t="s">
        <v>595</v>
      </c>
      <c r="K818" s="15" t="s">
        <v>30</v>
      </c>
      <c r="L818" s="57"/>
      <c r="M818" s="14"/>
      <c r="N818" s="14" t="s">
        <v>33</v>
      </c>
      <c r="O818" s="14"/>
      <c r="P818" s="15" t="s">
        <v>1121</v>
      </c>
      <c r="Q818" s="16">
        <v>23399</v>
      </c>
      <c r="R818" s="17">
        <v>46.97</v>
      </c>
      <c r="S818" s="18">
        <v>14268.9355</v>
      </c>
      <c r="T818" s="19" t="s">
        <v>36</v>
      </c>
      <c r="U818" s="20" t="s">
        <v>602</v>
      </c>
      <c r="V818" s="28">
        <v>41.5</v>
      </c>
      <c r="W818" s="22">
        <v>11</v>
      </c>
      <c r="X818" s="23"/>
    </row>
    <row r="819" spans="1:24" s="1" customFormat="1" ht="11.1" customHeight="1" x14ac:dyDescent="0.3">
      <c r="A819" s="24" t="s">
        <v>23</v>
      </c>
      <c r="B819" s="24" t="s">
        <v>1118</v>
      </c>
      <c r="C819" s="12" t="s">
        <v>1119</v>
      </c>
      <c r="D819" s="54"/>
      <c r="E819" s="39" t="str">
        <f t="shared" si="16"/>
        <v>Еще фото</v>
      </c>
      <c r="F819" s="13" t="s">
        <v>98</v>
      </c>
      <c r="G819" s="24" t="s">
        <v>592</v>
      </c>
      <c r="H819" s="24" t="s">
        <v>593</v>
      </c>
      <c r="I819" s="24" t="s">
        <v>809</v>
      </c>
      <c r="J819" s="14" t="s">
        <v>595</v>
      </c>
      <c r="K819" s="15" t="s">
        <v>30</v>
      </c>
      <c r="L819" s="57"/>
      <c r="M819" s="14"/>
      <c r="N819" s="14" t="s">
        <v>33</v>
      </c>
      <c r="O819" s="14"/>
      <c r="P819" s="15" t="s">
        <v>1121</v>
      </c>
      <c r="Q819" s="16">
        <v>23399</v>
      </c>
      <c r="R819" s="17">
        <v>46.97</v>
      </c>
      <c r="S819" s="18">
        <v>14268.9355</v>
      </c>
      <c r="T819" s="19" t="s">
        <v>36</v>
      </c>
      <c r="U819" s="20" t="s">
        <v>603</v>
      </c>
      <c r="V819" s="22">
        <v>42</v>
      </c>
      <c r="W819" s="22">
        <v>12</v>
      </c>
      <c r="X819" s="23"/>
    </row>
    <row r="820" spans="1:24" s="1" customFormat="1" ht="11.1" customHeight="1" x14ac:dyDescent="0.3">
      <c r="A820" s="24" t="s">
        <v>23</v>
      </c>
      <c r="B820" s="24" t="s">
        <v>1118</v>
      </c>
      <c r="C820" s="12" t="s">
        <v>1119</v>
      </c>
      <c r="D820" s="54"/>
      <c r="E820" s="39" t="str">
        <f t="shared" si="16"/>
        <v>Еще фото</v>
      </c>
      <c r="F820" s="13" t="s">
        <v>98</v>
      </c>
      <c r="G820" s="24" t="s">
        <v>592</v>
      </c>
      <c r="H820" s="24" t="s">
        <v>593</v>
      </c>
      <c r="I820" s="24" t="s">
        <v>809</v>
      </c>
      <c r="J820" s="14" t="s">
        <v>595</v>
      </c>
      <c r="K820" s="15" t="s">
        <v>30</v>
      </c>
      <c r="L820" s="57"/>
      <c r="M820" s="14"/>
      <c r="N820" s="14" t="s">
        <v>33</v>
      </c>
      <c r="O820" s="14"/>
      <c r="P820" s="15" t="s">
        <v>1121</v>
      </c>
      <c r="Q820" s="16">
        <v>23399</v>
      </c>
      <c r="R820" s="17">
        <v>46.97</v>
      </c>
      <c r="S820" s="18">
        <v>14268.9355</v>
      </c>
      <c r="T820" s="19" t="s">
        <v>36</v>
      </c>
      <c r="U820" s="20" t="s">
        <v>604</v>
      </c>
      <c r="V820" s="22">
        <v>43</v>
      </c>
      <c r="W820" s="22">
        <v>2</v>
      </c>
      <c r="X820" s="23"/>
    </row>
    <row r="821" spans="1:24" s="1" customFormat="1" ht="11.1" customHeight="1" x14ac:dyDescent="0.3">
      <c r="A821" s="24" t="s">
        <v>23</v>
      </c>
      <c r="B821" s="24" t="s">
        <v>1118</v>
      </c>
      <c r="C821" s="12" t="s">
        <v>1119</v>
      </c>
      <c r="D821" s="54"/>
      <c r="E821" s="39" t="str">
        <f t="shared" si="16"/>
        <v>Еще фото</v>
      </c>
      <c r="F821" s="13" t="s">
        <v>98</v>
      </c>
      <c r="G821" s="24" t="s">
        <v>592</v>
      </c>
      <c r="H821" s="24" t="s">
        <v>593</v>
      </c>
      <c r="I821" s="24" t="s">
        <v>809</v>
      </c>
      <c r="J821" s="14" t="s">
        <v>595</v>
      </c>
      <c r="K821" s="15" t="s">
        <v>30</v>
      </c>
      <c r="L821" s="57"/>
      <c r="M821" s="14"/>
      <c r="N821" s="14" t="s">
        <v>33</v>
      </c>
      <c r="O821" s="14"/>
      <c r="P821" s="15" t="s">
        <v>1121</v>
      </c>
      <c r="Q821" s="16">
        <v>23399</v>
      </c>
      <c r="R821" s="17">
        <v>46.97</v>
      </c>
      <c r="S821" s="18">
        <v>14268.9355</v>
      </c>
      <c r="T821" s="19" t="s">
        <v>36</v>
      </c>
      <c r="U821" s="20" t="s">
        <v>605</v>
      </c>
      <c r="V821" s="28">
        <v>43.5</v>
      </c>
      <c r="W821" s="22">
        <v>2</v>
      </c>
      <c r="X821" s="23"/>
    </row>
    <row r="822" spans="1:24" s="1" customFormat="1" ht="11.1" customHeight="1" x14ac:dyDescent="0.3">
      <c r="A822" s="24" t="s">
        <v>23</v>
      </c>
      <c r="B822" s="24" t="s">
        <v>1118</v>
      </c>
      <c r="C822" s="12" t="s">
        <v>1119</v>
      </c>
      <c r="D822" s="54"/>
      <c r="E822" s="39" t="str">
        <f t="shared" si="16"/>
        <v>Еще фото</v>
      </c>
      <c r="F822" s="13" t="s">
        <v>98</v>
      </c>
      <c r="G822" s="24" t="s">
        <v>592</v>
      </c>
      <c r="H822" s="24" t="s">
        <v>593</v>
      </c>
      <c r="I822" s="24" t="s">
        <v>809</v>
      </c>
      <c r="J822" s="14" t="s">
        <v>595</v>
      </c>
      <c r="K822" s="15" t="s">
        <v>30</v>
      </c>
      <c r="L822" s="57"/>
      <c r="M822" s="14"/>
      <c r="N822" s="14" t="s">
        <v>33</v>
      </c>
      <c r="O822" s="14"/>
      <c r="P822" s="15" t="s">
        <v>1121</v>
      </c>
      <c r="Q822" s="16">
        <v>23399</v>
      </c>
      <c r="R822" s="17">
        <v>46.97</v>
      </c>
      <c r="S822" s="18">
        <v>14268.9355</v>
      </c>
      <c r="T822" s="19" t="s">
        <v>36</v>
      </c>
      <c r="U822" s="20" t="s">
        <v>607</v>
      </c>
      <c r="V822" s="28">
        <v>44.5</v>
      </c>
      <c r="W822" s="22">
        <v>1</v>
      </c>
      <c r="X822" s="23"/>
    </row>
    <row r="823" spans="1:24" s="1" customFormat="1" ht="11.1" customHeight="1" x14ac:dyDescent="0.3">
      <c r="A823" s="14" t="s">
        <v>23</v>
      </c>
      <c r="B823" s="14" t="s">
        <v>1118</v>
      </c>
      <c r="C823" s="12" t="s">
        <v>1119</v>
      </c>
      <c r="D823" s="55"/>
      <c r="E823" s="39" t="str">
        <f t="shared" si="16"/>
        <v>Еще фото</v>
      </c>
      <c r="F823" s="29" t="s">
        <v>98</v>
      </c>
      <c r="G823" s="14" t="s">
        <v>592</v>
      </c>
      <c r="H823" s="14" t="s">
        <v>593</v>
      </c>
      <c r="I823" s="14" t="s">
        <v>809</v>
      </c>
      <c r="J823" s="14" t="s">
        <v>595</v>
      </c>
      <c r="K823" s="14" t="s">
        <v>30</v>
      </c>
      <c r="L823" s="58"/>
      <c r="M823" s="14"/>
      <c r="N823" s="14" t="s">
        <v>33</v>
      </c>
      <c r="O823" s="14"/>
      <c r="P823" s="14" t="s">
        <v>1121</v>
      </c>
      <c r="Q823" s="30">
        <v>23399</v>
      </c>
      <c r="R823" s="31">
        <v>46.97</v>
      </c>
      <c r="S823" s="32">
        <v>14268.9355</v>
      </c>
      <c r="T823" s="19" t="s">
        <v>36</v>
      </c>
      <c r="U823" s="20" t="s">
        <v>608</v>
      </c>
      <c r="V823" s="22">
        <v>45</v>
      </c>
      <c r="W823" s="22">
        <v>1</v>
      </c>
      <c r="X823" s="23"/>
    </row>
    <row r="824" spans="1:24" s="1" customFormat="1" ht="108" customHeight="1" x14ac:dyDescent="0.3">
      <c r="A824" s="11" t="s">
        <v>23</v>
      </c>
      <c r="B824" s="11" t="s">
        <v>1122</v>
      </c>
      <c r="C824" s="12" t="s">
        <v>1123</v>
      </c>
      <c r="D824" s="25"/>
      <c r="E824" s="39" t="str">
        <f>HYPERLINK("https://www.google.ru/search?q=3024883-110&amp;newwindow=1&amp;tbm=isch","Еще фото")</f>
        <v>Еще фото</v>
      </c>
      <c r="F824" s="13"/>
      <c r="G824" s="11" t="s">
        <v>808</v>
      </c>
      <c r="H824" s="11" t="s">
        <v>593</v>
      </c>
      <c r="I824" s="14" t="s">
        <v>809</v>
      </c>
      <c r="J824" s="14" t="s">
        <v>29</v>
      </c>
      <c r="K824" s="15" t="s">
        <v>30</v>
      </c>
      <c r="L824" s="14" t="s">
        <v>1124</v>
      </c>
      <c r="M824" s="14" t="s">
        <v>49</v>
      </c>
      <c r="N824" s="14" t="s">
        <v>84</v>
      </c>
      <c r="O824" s="14"/>
      <c r="P824" s="15" t="s">
        <v>1125</v>
      </c>
      <c r="Q824" s="16">
        <v>7999</v>
      </c>
      <c r="R824" s="17">
        <v>46.24</v>
      </c>
      <c r="S824" s="18">
        <v>4944.9884999999995</v>
      </c>
      <c r="T824" s="19" t="s">
        <v>36</v>
      </c>
      <c r="U824" s="20" t="s">
        <v>600</v>
      </c>
      <c r="V824" s="22">
        <v>40</v>
      </c>
      <c r="W824" s="22">
        <v>1</v>
      </c>
      <c r="X824" s="23"/>
    </row>
    <row r="825" spans="1:24" s="1" customFormat="1" ht="51.95" customHeight="1" x14ac:dyDescent="0.3">
      <c r="A825" s="11" t="s">
        <v>23</v>
      </c>
      <c r="B825" s="11" t="s">
        <v>815</v>
      </c>
      <c r="C825" s="12" t="s">
        <v>1126</v>
      </c>
      <c r="D825" s="59"/>
      <c r="E825" s="39" t="str">
        <f>HYPERLINK("https://www.google.ru/search?q=3024889-100&amp;newwindow=1&amp;tbm=isch","Еще фото")</f>
        <v>Еще фото</v>
      </c>
      <c r="F825" s="13"/>
      <c r="G825" s="11" t="s">
        <v>808</v>
      </c>
      <c r="H825" s="11" t="s">
        <v>593</v>
      </c>
      <c r="I825" s="14" t="s">
        <v>809</v>
      </c>
      <c r="J825" s="14" t="s">
        <v>29</v>
      </c>
      <c r="K825" s="15" t="s">
        <v>64</v>
      </c>
      <c r="L825" s="56" t="s">
        <v>818</v>
      </c>
      <c r="M825" s="14" t="s">
        <v>811</v>
      </c>
      <c r="N825" s="14" t="s">
        <v>74</v>
      </c>
      <c r="O825" s="14"/>
      <c r="P825" s="15" t="s">
        <v>827</v>
      </c>
      <c r="Q825" s="16">
        <v>8899</v>
      </c>
      <c r="R825" s="17">
        <v>46.06</v>
      </c>
      <c r="S825" s="18">
        <v>5519.9884999999995</v>
      </c>
      <c r="T825" s="19" t="s">
        <v>36</v>
      </c>
      <c r="U825" s="20" t="s">
        <v>813</v>
      </c>
      <c r="V825" s="28">
        <v>35.5</v>
      </c>
      <c r="W825" s="22">
        <v>5</v>
      </c>
      <c r="X825" s="23"/>
    </row>
    <row r="826" spans="1:24" s="1" customFormat="1" ht="60.95" customHeight="1" x14ac:dyDescent="0.3">
      <c r="A826" s="24" t="s">
        <v>23</v>
      </c>
      <c r="B826" s="24" t="s">
        <v>815</v>
      </c>
      <c r="C826" s="12" t="s">
        <v>1126</v>
      </c>
      <c r="D826" s="60"/>
      <c r="E826" s="39" t="str">
        <f>HYPERLINK("https://www.google.ru/search?q=3024889-100&amp;newwindow=1&amp;tbm=isch","Еще фото")</f>
        <v>Еще фото</v>
      </c>
      <c r="F826" s="13"/>
      <c r="G826" s="24" t="s">
        <v>808</v>
      </c>
      <c r="H826" s="24" t="s">
        <v>593</v>
      </c>
      <c r="I826" s="24" t="s">
        <v>809</v>
      </c>
      <c r="J826" s="14" t="s">
        <v>29</v>
      </c>
      <c r="K826" s="15" t="s">
        <v>64</v>
      </c>
      <c r="L826" s="58"/>
      <c r="M826" s="14" t="s">
        <v>811</v>
      </c>
      <c r="N826" s="14" t="s">
        <v>74</v>
      </c>
      <c r="O826" s="14"/>
      <c r="P826" s="15" t="s">
        <v>827</v>
      </c>
      <c r="Q826" s="16">
        <v>8899</v>
      </c>
      <c r="R826" s="17">
        <v>46.06</v>
      </c>
      <c r="S826" s="18">
        <v>5519.9884999999995</v>
      </c>
      <c r="T826" s="19" t="s">
        <v>36</v>
      </c>
      <c r="U826" s="20" t="s">
        <v>814</v>
      </c>
      <c r="V826" s="28">
        <v>36.5</v>
      </c>
      <c r="W826" s="22">
        <v>7</v>
      </c>
      <c r="X826" s="23"/>
    </row>
    <row r="827" spans="1:24" s="1" customFormat="1" ht="108" customHeight="1" x14ac:dyDescent="0.3">
      <c r="A827" s="11" t="s">
        <v>23</v>
      </c>
      <c r="B827" s="11" t="s">
        <v>1127</v>
      </c>
      <c r="C827" s="12" t="s">
        <v>1128</v>
      </c>
      <c r="D827" s="25"/>
      <c r="E827" s="39" t="str">
        <f>HYPERLINK("https://www.google.ru/search?q=3026999-348&amp;newwindow=1&amp;tbm=isch","Еще фото")</f>
        <v>Еще фото</v>
      </c>
      <c r="F827" s="13"/>
      <c r="G827" s="11" t="s">
        <v>808</v>
      </c>
      <c r="H827" s="11" t="s">
        <v>593</v>
      </c>
      <c r="I827" s="14" t="s">
        <v>809</v>
      </c>
      <c r="J827" s="14" t="s">
        <v>29</v>
      </c>
      <c r="K827" s="15" t="s">
        <v>30</v>
      </c>
      <c r="L827" s="14" t="s">
        <v>1129</v>
      </c>
      <c r="M827" s="14"/>
      <c r="N827" s="14" t="s">
        <v>125</v>
      </c>
      <c r="O827" s="14"/>
      <c r="P827" s="15" t="s">
        <v>884</v>
      </c>
      <c r="Q827" s="16">
        <v>8899</v>
      </c>
      <c r="R827" s="17">
        <v>46.06</v>
      </c>
      <c r="S827" s="18">
        <v>5519.9884999999995</v>
      </c>
      <c r="T827" s="19" t="s">
        <v>36</v>
      </c>
      <c r="U827" s="20" t="s">
        <v>599</v>
      </c>
      <c r="V827" s="28">
        <v>39.5</v>
      </c>
      <c r="W827" s="22">
        <v>1</v>
      </c>
      <c r="X827" s="23"/>
    </row>
    <row r="828" spans="1:24" s="1" customFormat="1" ht="21" customHeight="1" x14ac:dyDescent="0.3">
      <c r="A828" s="11" t="s">
        <v>23</v>
      </c>
      <c r="B828" s="11" t="s">
        <v>1130</v>
      </c>
      <c r="C828" s="26" t="s">
        <v>1131</v>
      </c>
      <c r="D828" s="53"/>
      <c r="E828" s="39" t="str">
        <f>HYPERLINK("https://www.google.ru/search?q=6011025-001&amp;newwindow=1&amp;tbm=isch","Еще фото")</f>
        <v>Еще фото</v>
      </c>
      <c r="F828" s="13"/>
      <c r="G828" s="11" t="s">
        <v>808</v>
      </c>
      <c r="H828" s="11" t="s">
        <v>593</v>
      </c>
      <c r="I828" s="14" t="s">
        <v>809</v>
      </c>
      <c r="J828" s="14" t="s">
        <v>29</v>
      </c>
      <c r="K828" s="15" t="s">
        <v>54</v>
      </c>
      <c r="L828" s="56" t="s">
        <v>1132</v>
      </c>
      <c r="M828" s="14"/>
      <c r="N828" s="14" t="s">
        <v>1133</v>
      </c>
      <c r="O828" s="14"/>
      <c r="P828" s="15" t="s">
        <v>919</v>
      </c>
      <c r="Q828" s="16">
        <v>11299</v>
      </c>
      <c r="R828" s="17">
        <v>46</v>
      </c>
      <c r="S828" s="18">
        <v>7016.6789999999992</v>
      </c>
      <c r="T828" s="19" t="s">
        <v>36</v>
      </c>
      <c r="U828" s="20" t="s">
        <v>1134</v>
      </c>
      <c r="V828" s="22">
        <v>36</v>
      </c>
      <c r="W828" s="22">
        <v>6</v>
      </c>
      <c r="X828" s="23"/>
    </row>
    <row r="829" spans="1:24" s="1" customFormat="1" ht="21" customHeight="1" x14ac:dyDescent="0.3">
      <c r="A829" s="24" t="s">
        <v>23</v>
      </c>
      <c r="B829" s="24" t="s">
        <v>1130</v>
      </c>
      <c r="C829" s="27" t="s">
        <v>1131</v>
      </c>
      <c r="D829" s="54"/>
      <c r="E829" s="39" t="str">
        <f>HYPERLINK("https://www.google.ru/search?q=6011025-001&amp;newwindow=1&amp;tbm=isch","Еще фото")</f>
        <v>Еще фото</v>
      </c>
      <c r="F829" s="13"/>
      <c r="G829" s="24" t="s">
        <v>808</v>
      </c>
      <c r="H829" s="24" t="s">
        <v>593</v>
      </c>
      <c r="I829" s="24" t="s">
        <v>809</v>
      </c>
      <c r="J829" s="14" t="s">
        <v>29</v>
      </c>
      <c r="K829" s="15" t="s">
        <v>54</v>
      </c>
      <c r="L829" s="57"/>
      <c r="M829" s="14"/>
      <c r="N829" s="14" t="s">
        <v>1133</v>
      </c>
      <c r="O829" s="14"/>
      <c r="P829" s="15" t="s">
        <v>919</v>
      </c>
      <c r="Q829" s="16">
        <v>11299</v>
      </c>
      <c r="R829" s="17">
        <v>46</v>
      </c>
      <c r="S829" s="18">
        <v>7016.6789999999992</v>
      </c>
      <c r="T829" s="19" t="s">
        <v>36</v>
      </c>
      <c r="U829" s="20" t="s">
        <v>813</v>
      </c>
      <c r="V829" s="22">
        <v>37</v>
      </c>
      <c r="W829" s="22">
        <v>7</v>
      </c>
      <c r="X829" s="23"/>
    </row>
    <row r="830" spans="1:24" s="1" customFormat="1" ht="21" customHeight="1" x14ac:dyDescent="0.3">
      <c r="A830" s="24" t="s">
        <v>23</v>
      </c>
      <c r="B830" s="24" t="s">
        <v>1130</v>
      </c>
      <c r="C830" s="27" t="s">
        <v>1131</v>
      </c>
      <c r="D830" s="54"/>
      <c r="E830" s="39" t="str">
        <f>HYPERLINK("https://www.google.ru/search?q=6011025-001&amp;newwindow=1&amp;tbm=isch","Еще фото")</f>
        <v>Еще фото</v>
      </c>
      <c r="F830" s="13"/>
      <c r="G830" s="24" t="s">
        <v>808</v>
      </c>
      <c r="H830" s="24" t="s">
        <v>593</v>
      </c>
      <c r="I830" s="24" t="s">
        <v>809</v>
      </c>
      <c r="J830" s="14" t="s">
        <v>29</v>
      </c>
      <c r="K830" s="15" t="s">
        <v>54</v>
      </c>
      <c r="L830" s="57"/>
      <c r="M830" s="14"/>
      <c r="N830" s="14" t="s">
        <v>1133</v>
      </c>
      <c r="O830" s="14"/>
      <c r="P830" s="15" t="s">
        <v>919</v>
      </c>
      <c r="Q830" s="16">
        <v>11299</v>
      </c>
      <c r="R830" s="17">
        <v>46</v>
      </c>
      <c r="S830" s="18">
        <v>7016.6789999999992</v>
      </c>
      <c r="T830" s="19" t="s">
        <v>36</v>
      </c>
      <c r="U830" s="20" t="s">
        <v>820</v>
      </c>
      <c r="V830" s="28">
        <v>37.5</v>
      </c>
      <c r="W830" s="22">
        <v>6</v>
      </c>
      <c r="X830" s="23"/>
    </row>
    <row r="831" spans="1:24" s="1" customFormat="1" ht="21" customHeight="1" x14ac:dyDescent="0.3">
      <c r="A831" s="24" t="s">
        <v>23</v>
      </c>
      <c r="B831" s="24" t="s">
        <v>1130</v>
      </c>
      <c r="C831" s="27" t="s">
        <v>1131</v>
      </c>
      <c r="D831" s="54"/>
      <c r="E831" s="39" t="str">
        <f>HYPERLINK("https://www.google.ru/search?q=6011025-001&amp;newwindow=1&amp;tbm=isch","Еще фото")</f>
        <v>Еще фото</v>
      </c>
      <c r="F831" s="13"/>
      <c r="G831" s="24" t="s">
        <v>808</v>
      </c>
      <c r="H831" s="24" t="s">
        <v>593</v>
      </c>
      <c r="I831" s="24" t="s">
        <v>809</v>
      </c>
      <c r="J831" s="14" t="s">
        <v>29</v>
      </c>
      <c r="K831" s="15" t="s">
        <v>54</v>
      </c>
      <c r="L831" s="57"/>
      <c r="M831" s="14"/>
      <c r="N831" s="14" t="s">
        <v>1133</v>
      </c>
      <c r="O831" s="14"/>
      <c r="P831" s="15" t="s">
        <v>919</v>
      </c>
      <c r="Q831" s="16">
        <v>11299</v>
      </c>
      <c r="R831" s="17">
        <v>46</v>
      </c>
      <c r="S831" s="18">
        <v>7016.6789999999992</v>
      </c>
      <c r="T831" s="19" t="s">
        <v>36</v>
      </c>
      <c r="U831" s="20" t="s">
        <v>814</v>
      </c>
      <c r="V831" s="22">
        <v>38</v>
      </c>
      <c r="W831" s="22">
        <v>2</v>
      </c>
      <c r="X831" s="23"/>
    </row>
    <row r="832" spans="1:24" s="1" customFormat="1" ht="32.1" customHeight="1" x14ac:dyDescent="0.3">
      <c r="A832" s="24" t="s">
        <v>23</v>
      </c>
      <c r="B832" s="24" t="s">
        <v>1130</v>
      </c>
      <c r="C832" s="27" t="s">
        <v>1131</v>
      </c>
      <c r="D832" s="55"/>
      <c r="E832" s="39" t="str">
        <f>HYPERLINK("https://www.google.ru/search?q=6011025-001&amp;newwindow=1&amp;tbm=isch","Еще фото")</f>
        <v>Еще фото</v>
      </c>
      <c r="F832" s="13"/>
      <c r="G832" s="24" t="s">
        <v>808</v>
      </c>
      <c r="H832" s="24" t="s">
        <v>593</v>
      </c>
      <c r="I832" s="24" t="s">
        <v>809</v>
      </c>
      <c r="J832" s="14" t="s">
        <v>29</v>
      </c>
      <c r="K832" s="15" t="s">
        <v>54</v>
      </c>
      <c r="L832" s="58"/>
      <c r="M832" s="14"/>
      <c r="N832" s="14" t="s">
        <v>1133</v>
      </c>
      <c r="O832" s="14"/>
      <c r="P832" s="15" t="s">
        <v>919</v>
      </c>
      <c r="Q832" s="16">
        <v>11299</v>
      </c>
      <c r="R832" s="17">
        <v>46</v>
      </c>
      <c r="S832" s="18">
        <v>7016.6789999999992</v>
      </c>
      <c r="T832" s="19" t="s">
        <v>36</v>
      </c>
      <c r="U832" s="20" t="s">
        <v>598</v>
      </c>
      <c r="V832" s="22">
        <v>39</v>
      </c>
      <c r="W832" s="22">
        <v>6</v>
      </c>
      <c r="X832" s="23"/>
    </row>
    <row r="833" spans="1:24" s="1" customFormat="1" ht="26.1" customHeight="1" x14ac:dyDescent="0.3">
      <c r="A833" s="11" t="s">
        <v>23</v>
      </c>
      <c r="B833" s="11" t="s">
        <v>1130</v>
      </c>
      <c r="C833" s="12" t="s">
        <v>1135</v>
      </c>
      <c r="D833" s="53"/>
      <c r="E833" s="39" t="str">
        <f>HYPERLINK("https://www.google.ru/search?q=6011025-003&amp;newwindow=1&amp;tbm=isch","Еще фото")</f>
        <v>Еще фото</v>
      </c>
      <c r="F833" s="13"/>
      <c r="G833" s="11" t="s">
        <v>808</v>
      </c>
      <c r="H833" s="11" t="s">
        <v>593</v>
      </c>
      <c r="I833" s="14" t="s">
        <v>809</v>
      </c>
      <c r="J833" s="14" t="s">
        <v>29</v>
      </c>
      <c r="K833" s="15" t="s">
        <v>54</v>
      </c>
      <c r="L833" s="56" t="s">
        <v>1132</v>
      </c>
      <c r="M833" s="14"/>
      <c r="N833" s="14" t="s">
        <v>33</v>
      </c>
      <c r="O833" s="14"/>
      <c r="P833" s="15" t="s">
        <v>919</v>
      </c>
      <c r="Q833" s="16">
        <v>11299</v>
      </c>
      <c r="R833" s="17">
        <v>46</v>
      </c>
      <c r="S833" s="18">
        <v>7016.6789999999992</v>
      </c>
      <c r="T833" s="19" t="s">
        <v>36</v>
      </c>
      <c r="U833" s="20" t="s">
        <v>813</v>
      </c>
      <c r="V833" s="22">
        <v>37</v>
      </c>
      <c r="W833" s="22">
        <v>6</v>
      </c>
      <c r="X833" s="23"/>
    </row>
    <row r="834" spans="1:24" s="1" customFormat="1" ht="26.1" customHeight="1" x14ac:dyDescent="0.3">
      <c r="A834" s="24" t="s">
        <v>23</v>
      </c>
      <c r="B834" s="24" t="s">
        <v>1130</v>
      </c>
      <c r="C834" s="12" t="s">
        <v>1135</v>
      </c>
      <c r="D834" s="54"/>
      <c r="E834" s="39" t="str">
        <f>HYPERLINK("https://www.google.ru/search?q=6011025-003&amp;newwindow=1&amp;tbm=isch","Еще фото")</f>
        <v>Еще фото</v>
      </c>
      <c r="F834" s="13"/>
      <c r="G834" s="24" t="s">
        <v>808</v>
      </c>
      <c r="H834" s="24" t="s">
        <v>593</v>
      </c>
      <c r="I834" s="24" t="s">
        <v>809</v>
      </c>
      <c r="J834" s="14" t="s">
        <v>29</v>
      </c>
      <c r="K834" s="15" t="s">
        <v>54</v>
      </c>
      <c r="L834" s="57"/>
      <c r="M834" s="14"/>
      <c r="N834" s="14" t="s">
        <v>33</v>
      </c>
      <c r="O834" s="14"/>
      <c r="P834" s="15" t="s">
        <v>919</v>
      </c>
      <c r="Q834" s="16">
        <v>11299</v>
      </c>
      <c r="R834" s="17">
        <v>46</v>
      </c>
      <c r="S834" s="18">
        <v>7016.6789999999992</v>
      </c>
      <c r="T834" s="19" t="s">
        <v>36</v>
      </c>
      <c r="U834" s="20" t="s">
        <v>820</v>
      </c>
      <c r="V834" s="28">
        <v>37.5</v>
      </c>
      <c r="W834" s="22">
        <v>5</v>
      </c>
      <c r="X834" s="23"/>
    </row>
    <row r="835" spans="1:24" s="1" customFormat="1" ht="26.1" customHeight="1" x14ac:dyDescent="0.3">
      <c r="A835" s="24" t="s">
        <v>23</v>
      </c>
      <c r="B835" s="24" t="s">
        <v>1130</v>
      </c>
      <c r="C835" s="12" t="s">
        <v>1135</v>
      </c>
      <c r="D835" s="54"/>
      <c r="E835" s="39" t="str">
        <f>HYPERLINK("https://www.google.ru/search?q=6011025-003&amp;newwindow=1&amp;tbm=isch","Еще фото")</f>
        <v>Еще фото</v>
      </c>
      <c r="F835" s="13"/>
      <c r="G835" s="24" t="s">
        <v>808</v>
      </c>
      <c r="H835" s="24" t="s">
        <v>593</v>
      </c>
      <c r="I835" s="24" t="s">
        <v>809</v>
      </c>
      <c r="J835" s="14" t="s">
        <v>29</v>
      </c>
      <c r="K835" s="15" t="s">
        <v>54</v>
      </c>
      <c r="L835" s="57"/>
      <c r="M835" s="14"/>
      <c r="N835" s="14" t="s">
        <v>33</v>
      </c>
      <c r="O835" s="14"/>
      <c r="P835" s="15" t="s">
        <v>919</v>
      </c>
      <c r="Q835" s="16">
        <v>11299</v>
      </c>
      <c r="R835" s="17">
        <v>46</v>
      </c>
      <c r="S835" s="18">
        <v>7016.6789999999992</v>
      </c>
      <c r="T835" s="19" t="s">
        <v>36</v>
      </c>
      <c r="U835" s="20" t="s">
        <v>814</v>
      </c>
      <c r="V835" s="22">
        <v>38</v>
      </c>
      <c r="W835" s="22">
        <v>3</v>
      </c>
      <c r="X835" s="23"/>
    </row>
    <row r="836" spans="1:24" s="1" customFormat="1" ht="26.1" customHeight="1" x14ac:dyDescent="0.3">
      <c r="A836" s="24" t="s">
        <v>23</v>
      </c>
      <c r="B836" s="24" t="s">
        <v>1130</v>
      </c>
      <c r="C836" s="12" t="s">
        <v>1135</v>
      </c>
      <c r="D836" s="55"/>
      <c r="E836" s="39" t="str">
        <f>HYPERLINK("https://www.google.ru/search?q=6011025-003&amp;newwindow=1&amp;tbm=isch","Еще фото")</f>
        <v>Еще фото</v>
      </c>
      <c r="F836" s="13"/>
      <c r="G836" s="24" t="s">
        <v>808</v>
      </c>
      <c r="H836" s="24" t="s">
        <v>593</v>
      </c>
      <c r="I836" s="24" t="s">
        <v>809</v>
      </c>
      <c r="J836" s="14" t="s">
        <v>29</v>
      </c>
      <c r="K836" s="15" t="s">
        <v>54</v>
      </c>
      <c r="L836" s="58"/>
      <c r="M836" s="14"/>
      <c r="N836" s="14" t="s">
        <v>33</v>
      </c>
      <c r="O836" s="14"/>
      <c r="P836" s="15" t="s">
        <v>919</v>
      </c>
      <c r="Q836" s="16">
        <v>11299</v>
      </c>
      <c r="R836" s="17">
        <v>46</v>
      </c>
      <c r="S836" s="18">
        <v>7016.6789999999992</v>
      </c>
      <c r="T836" s="19" t="s">
        <v>36</v>
      </c>
      <c r="U836" s="20" t="s">
        <v>598</v>
      </c>
      <c r="V836" s="22">
        <v>39</v>
      </c>
      <c r="W836" s="22">
        <v>5</v>
      </c>
      <c r="X836" s="23"/>
    </row>
    <row r="837" spans="1:24" s="1" customFormat="1" ht="21" customHeight="1" x14ac:dyDescent="0.3">
      <c r="A837" s="11" t="s">
        <v>23</v>
      </c>
      <c r="B837" s="11" t="s">
        <v>1130</v>
      </c>
      <c r="C837" s="26" t="s">
        <v>1136</v>
      </c>
      <c r="D837" s="53"/>
      <c r="E837" s="39" t="str">
        <f>HYPERLINK("https://www.google.ru/search?q=6011025-389&amp;newwindow=1&amp;tbm=isch","Еще фото")</f>
        <v>Еще фото</v>
      </c>
      <c r="F837" s="13"/>
      <c r="G837" s="11" t="s">
        <v>808</v>
      </c>
      <c r="H837" s="11" t="s">
        <v>593</v>
      </c>
      <c r="I837" s="14" t="s">
        <v>809</v>
      </c>
      <c r="J837" s="14" t="s">
        <v>29</v>
      </c>
      <c r="K837" s="15" t="s">
        <v>54</v>
      </c>
      <c r="L837" s="56" t="s">
        <v>1132</v>
      </c>
      <c r="M837" s="14"/>
      <c r="N837" s="14" t="s">
        <v>1137</v>
      </c>
      <c r="O837" s="14"/>
      <c r="P837" s="15" t="s">
        <v>919</v>
      </c>
      <c r="Q837" s="16">
        <v>11299</v>
      </c>
      <c r="R837" s="17">
        <v>46</v>
      </c>
      <c r="S837" s="18">
        <v>7016.6789999999992</v>
      </c>
      <c r="T837" s="19" t="s">
        <v>36</v>
      </c>
      <c r="U837" s="20" t="s">
        <v>863</v>
      </c>
      <c r="V837" s="28">
        <v>36.5</v>
      </c>
      <c r="W837" s="22">
        <v>1</v>
      </c>
      <c r="X837" s="23"/>
    </row>
    <row r="838" spans="1:24" s="1" customFormat="1" ht="21" customHeight="1" x14ac:dyDescent="0.3">
      <c r="A838" s="24" t="s">
        <v>23</v>
      </c>
      <c r="B838" s="24" t="s">
        <v>1130</v>
      </c>
      <c r="C838" s="27" t="s">
        <v>1136</v>
      </c>
      <c r="D838" s="54"/>
      <c r="E838" s="39" t="str">
        <f>HYPERLINK("https://www.google.ru/search?q=6011025-389&amp;newwindow=1&amp;tbm=isch","Еще фото")</f>
        <v>Еще фото</v>
      </c>
      <c r="F838" s="13"/>
      <c r="G838" s="24" t="s">
        <v>808</v>
      </c>
      <c r="H838" s="24" t="s">
        <v>593</v>
      </c>
      <c r="I838" s="24" t="s">
        <v>809</v>
      </c>
      <c r="J838" s="14" t="s">
        <v>29</v>
      </c>
      <c r="K838" s="15" t="s">
        <v>54</v>
      </c>
      <c r="L838" s="57"/>
      <c r="M838" s="14"/>
      <c r="N838" s="14" t="s">
        <v>1137</v>
      </c>
      <c r="O838" s="14"/>
      <c r="P838" s="15" t="s">
        <v>919</v>
      </c>
      <c r="Q838" s="16">
        <v>11299</v>
      </c>
      <c r="R838" s="17">
        <v>46</v>
      </c>
      <c r="S838" s="18">
        <v>7016.6789999999992</v>
      </c>
      <c r="T838" s="19" t="s">
        <v>36</v>
      </c>
      <c r="U838" s="20" t="s">
        <v>813</v>
      </c>
      <c r="V838" s="22">
        <v>37</v>
      </c>
      <c r="W838" s="22">
        <v>6</v>
      </c>
      <c r="X838" s="23"/>
    </row>
    <row r="839" spans="1:24" s="1" customFormat="1" ht="21" customHeight="1" x14ac:dyDescent="0.3">
      <c r="A839" s="24" t="s">
        <v>23</v>
      </c>
      <c r="B839" s="24" t="s">
        <v>1130</v>
      </c>
      <c r="C839" s="27" t="s">
        <v>1136</v>
      </c>
      <c r="D839" s="54"/>
      <c r="E839" s="39" t="str">
        <f>HYPERLINK("https://www.google.ru/search?q=6011025-389&amp;newwindow=1&amp;tbm=isch","Еще фото")</f>
        <v>Еще фото</v>
      </c>
      <c r="F839" s="13"/>
      <c r="G839" s="24" t="s">
        <v>808</v>
      </c>
      <c r="H839" s="24" t="s">
        <v>593</v>
      </c>
      <c r="I839" s="24" t="s">
        <v>809</v>
      </c>
      <c r="J839" s="14" t="s">
        <v>29</v>
      </c>
      <c r="K839" s="15" t="s">
        <v>54</v>
      </c>
      <c r="L839" s="57"/>
      <c r="M839" s="14"/>
      <c r="N839" s="14" t="s">
        <v>1137</v>
      </c>
      <c r="O839" s="14"/>
      <c r="P839" s="15" t="s">
        <v>919</v>
      </c>
      <c r="Q839" s="16">
        <v>11299</v>
      </c>
      <c r="R839" s="17">
        <v>46</v>
      </c>
      <c r="S839" s="18">
        <v>7016.6789999999992</v>
      </c>
      <c r="T839" s="19" t="s">
        <v>36</v>
      </c>
      <c r="U839" s="20" t="s">
        <v>820</v>
      </c>
      <c r="V839" s="28">
        <v>37.5</v>
      </c>
      <c r="W839" s="22">
        <v>4</v>
      </c>
      <c r="X839" s="23"/>
    </row>
    <row r="840" spans="1:24" s="1" customFormat="1" ht="21" customHeight="1" x14ac:dyDescent="0.3">
      <c r="A840" s="24" t="s">
        <v>23</v>
      </c>
      <c r="B840" s="24" t="s">
        <v>1130</v>
      </c>
      <c r="C840" s="27" t="s">
        <v>1136</v>
      </c>
      <c r="D840" s="54"/>
      <c r="E840" s="39" t="str">
        <f>HYPERLINK("https://www.google.ru/search?q=6011025-389&amp;newwindow=1&amp;tbm=isch","Еще фото")</f>
        <v>Еще фото</v>
      </c>
      <c r="F840" s="13"/>
      <c r="G840" s="24" t="s">
        <v>808</v>
      </c>
      <c r="H840" s="24" t="s">
        <v>593</v>
      </c>
      <c r="I840" s="24" t="s">
        <v>809</v>
      </c>
      <c r="J840" s="14" t="s">
        <v>29</v>
      </c>
      <c r="K840" s="15" t="s">
        <v>54</v>
      </c>
      <c r="L840" s="57"/>
      <c r="M840" s="14"/>
      <c r="N840" s="14" t="s">
        <v>1137</v>
      </c>
      <c r="O840" s="14"/>
      <c r="P840" s="15" t="s">
        <v>919</v>
      </c>
      <c r="Q840" s="16">
        <v>11299</v>
      </c>
      <c r="R840" s="17">
        <v>46</v>
      </c>
      <c r="S840" s="18">
        <v>7016.6789999999992</v>
      </c>
      <c r="T840" s="19" t="s">
        <v>36</v>
      </c>
      <c r="U840" s="20" t="s">
        <v>814</v>
      </c>
      <c r="V840" s="22">
        <v>38</v>
      </c>
      <c r="W840" s="22">
        <v>5</v>
      </c>
      <c r="X840" s="23"/>
    </row>
    <row r="841" spans="1:24" s="1" customFormat="1" ht="32.1" customHeight="1" x14ac:dyDescent="0.3">
      <c r="A841" s="24" t="s">
        <v>23</v>
      </c>
      <c r="B841" s="24" t="s">
        <v>1130</v>
      </c>
      <c r="C841" s="27" t="s">
        <v>1136</v>
      </c>
      <c r="D841" s="55"/>
      <c r="E841" s="39" t="str">
        <f>HYPERLINK("https://www.google.ru/search?q=6011025-389&amp;newwindow=1&amp;tbm=isch","Еще фото")</f>
        <v>Еще фото</v>
      </c>
      <c r="F841" s="13"/>
      <c r="G841" s="24" t="s">
        <v>808</v>
      </c>
      <c r="H841" s="24" t="s">
        <v>593</v>
      </c>
      <c r="I841" s="24" t="s">
        <v>809</v>
      </c>
      <c r="J841" s="14" t="s">
        <v>29</v>
      </c>
      <c r="K841" s="15" t="s">
        <v>54</v>
      </c>
      <c r="L841" s="58"/>
      <c r="M841" s="14"/>
      <c r="N841" s="14" t="s">
        <v>1137</v>
      </c>
      <c r="O841" s="14"/>
      <c r="P841" s="15" t="s">
        <v>919</v>
      </c>
      <c r="Q841" s="16">
        <v>11299</v>
      </c>
      <c r="R841" s="17">
        <v>46</v>
      </c>
      <c r="S841" s="18">
        <v>7016.6789999999992</v>
      </c>
      <c r="T841" s="19" t="s">
        <v>36</v>
      </c>
      <c r="U841" s="20" t="s">
        <v>598</v>
      </c>
      <c r="V841" s="22">
        <v>39</v>
      </c>
      <c r="W841" s="22">
        <v>7</v>
      </c>
      <c r="X841" s="23"/>
    </row>
    <row r="842" spans="1:24" s="1" customFormat="1" ht="26.1" customHeight="1" x14ac:dyDescent="0.3">
      <c r="A842" s="11" t="s">
        <v>23</v>
      </c>
      <c r="B842" s="11" t="s">
        <v>1138</v>
      </c>
      <c r="C842" s="12" t="s">
        <v>1139</v>
      </c>
      <c r="D842" s="53"/>
      <c r="E842" s="39" t="str">
        <f>HYPERLINK("https://www.google.ru/search?q=6011026-001&amp;newwindow=1&amp;tbm=isch","Еще фото")</f>
        <v>Еще фото</v>
      </c>
      <c r="F842" s="13"/>
      <c r="G842" s="11" t="s">
        <v>808</v>
      </c>
      <c r="H842" s="11" t="s">
        <v>593</v>
      </c>
      <c r="I842" s="14" t="s">
        <v>809</v>
      </c>
      <c r="J842" s="14" t="s">
        <v>29</v>
      </c>
      <c r="K842" s="15" t="s">
        <v>54</v>
      </c>
      <c r="L842" s="56" t="s">
        <v>1140</v>
      </c>
      <c r="M842" s="14"/>
      <c r="N842" s="14" t="s">
        <v>1141</v>
      </c>
      <c r="O842" s="14"/>
      <c r="P842" s="15" t="s">
        <v>919</v>
      </c>
      <c r="Q842" s="16">
        <v>11599</v>
      </c>
      <c r="R842" s="17">
        <v>46</v>
      </c>
      <c r="S842" s="18">
        <v>7202.9789999999994</v>
      </c>
      <c r="T842" s="19" t="s">
        <v>36</v>
      </c>
      <c r="U842" s="20" t="s">
        <v>813</v>
      </c>
      <c r="V842" s="22">
        <v>37</v>
      </c>
      <c r="W842" s="22">
        <v>7</v>
      </c>
      <c r="X842" s="23"/>
    </row>
    <row r="843" spans="1:24" s="1" customFormat="1" ht="26.1" customHeight="1" x14ac:dyDescent="0.3">
      <c r="A843" s="24" t="s">
        <v>23</v>
      </c>
      <c r="B843" s="24" t="s">
        <v>1138</v>
      </c>
      <c r="C843" s="12" t="s">
        <v>1139</v>
      </c>
      <c r="D843" s="54"/>
      <c r="E843" s="39" t="str">
        <f>HYPERLINK("https://www.google.ru/search?q=6011026-001&amp;newwindow=1&amp;tbm=isch","Еще фото")</f>
        <v>Еще фото</v>
      </c>
      <c r="F843" s="13"/>
      <c r="G843" s="24" t="s">
        <v>808</v>
      </c>
      <c r="H843" s="24" t="s">
        <v>593</v>
      </c>
      <c r="I843" s="24" t="s">
        <v>809</v>
      </c>
      <c r="J843" s="14" t="s">
        <v>29</v>
      </c>
      <c r="K843" s="15" t="s">
        <v>54</v>
      </c>
      <c r="L843" s="57"/>
      <c r="M843" s="14"/>
      <c r="N843" s="14" t="s">
        <v>1141</v>
      </c>
      <c r="O843" s="14"/>
      <c r="P843" s="15" t="s">
        <v>919</v>
      </c>
      <c r="Q843" s="16">
        <v>11599</v>
      </c>
      <c r="R843" s="17">
        <v>46</v>
      </c>
      <c r="S843" s="18">
        <v>7202.9789999999994</v>
      </c>
      <c r="T843" s="19" t="s">
        <v>36</v>
      </c>
      <c r="U843" s="20" t="s">
        <v>820</v>
      </c>
      <c r="V843" s="28">
        <v>37.5</v>
      </c>
      <c r="W843" s="22">
        <v>7</v>
      </c>
      <c r="X843" s="23"/>
    </row>
    <row r="844" spans="1:24" s="1" customFormat="1" ht="26.1" customHeight="1" x14ac:dyDescent="0.3">
      <c r="A844" s="24" t="s">
        <v>23</v>
      </c>
      <c r="B844" s="24" t="s">
        <v>1138</v>
      </c>
      <c r="C844" s="12" t="s">
        <v>1139</v>
      </c>
      <c r="D844" s="54"/>
      <c r="E844" s="39" t="str">
        <f>HYPERLINK("https://www.google.ru/search?q=6011026-001&amp;newwindow=1&amp;tbm=isch","Еще фото")</f>
        <v>Еще фото</v>
      </c>
      <c r="F844" s="13"/>
      <c r="G844" s="24" t="s">
        <v>808</v>
      </c>
      <c r="H844" s="24" t="s">
        <v>593</v>
      </c>
      <c r="I844" s="24" t="s">
        <v>809</v>
      </c>
      <c r="J844" s="14" t="s">
        <v>29</v>
      </c>
      <c r="K844" s="15" t="s">
        <v>54</v>
      </c>
      <c r="L844" s="57"/>
      <c r="M844" s="14"/>
      <c r="N844" s="14" t="s">
        <v>1141</v>
      </c>
      <c r="O844" s="14"/>
      <c r="P844" s="15" t="s">
        <v>919</v>
      </c>
      <c r="Q844" s="16">
        <v>11599</v>
      </c>
      <c r="R844" s="17">
        <v>46</v>
      </c>
      <c r="S844" s="18">
        <v>7202.9789999999994</v>
      </c>
      <c r="T844" s="19" t="s">
        <v>36</v>
      </c>
      <c r="U844" s="20" t="s">
        <v>814</v>
      </c>
      <c r="V844" s="22">
        <v>38</v>
      </c>
      <c r="W844" s="22">
        <v>4</v>
      </c>
      <c r="X844" s="23"/>
    </row>
    <row r="845" spans="1:24" s="1" customFormat="1" ht="26.1" customHeight="1" x14ac:dyDescent="0.3">
      <c r="A845" s="24" t="s">
        <v>23</v>
      </c>
      <c r="B845" s="24" t="s">
        <v>1138</v>
      </c>
      <c r="C845" s="12" t="s">
        <v>1139</v>
      </c>
      <c r="D845" s="55"/>
      <c r="E845" s="39" t="str">
        <f>HYPERLINK("https://www.google.ru/search?q=6011026-001&amp;newwindow=1&amp;tbm=isch","Еще фото")</f>
        <v>Еще фото</v>
      </c>
      <c r="F845" s="13"/>
      <c r="G845" s="24" t="s">
        <v>808</v>
      </c>
      <c r="H845" s="24" t="s">
        <v>593</v>
      </c>
      <c r="I845" s="24" t="s">
        <v>809</v>
      </c>
      <c r="J845" s="14" t="s">
        <v>29</v>
      </c>
      <c r="K845" s="15" t="s">
        <v>54</v>
      </c>
      <c r="L845" s="58"/>
      <c r="M845" s="14"/>
      <c r="N845" s="14" t="s">
        <v>1141</v>
      </c>
      <c r="O845" s="14"/>
      <c r="P845" s="15" t="s">
        <v>919</v>
      </c>
      <c r="Q845" s="16">
        <v>11599</v>
      </c>
      <c r="R845" s="17">
        <v>46</v>
      </c>
      <c r="S845" s="18">
        <v>7202.9789999999994</v>
      </c>
      <c r="T845" s="19" t="s">
        <v>36</v>
      </c>
      <c r="U845" s="20" t="s">
        <v>598</v>
      </c>
      <c r="V845" s="22">
        <v>39</v>
      </c>
      <c r="W845" s="22">
        <v>7</v>
      </c>
      <c r="X845" s="23"/>
    </row>
    <row r="846" spans="1:24" s="1" customFormat="1" ht="108" customHeight="1" x14ac:dyDescent="0.3">
      <c r="A846" s="11" t="s">
        <v>23</v>
      </c>
      <c r="B846" s="11" t="s">
        <v>843</v>
      </c>
      <c r="C846" s="12" t="s">
        <v>1142</v>
      </c>
      <c r="D846" s="25"/>
      <c r="E846" s="39" t="str">
        <f>HYPERLINK("https://www.google.ru/search?q=3025060-502&amp;newwindow=1&amp;tbm=isch","Еще фото")</f>
        <v>Еще фото</v>
      </c>
      <c r="F846" s="13"/>
      <c r="G846" s="11" t="s">
        <v>808</v>
      </c>
      <c r="H846" s="11" t="s">
        <v>593</v>
      </c>
      <c r="I846" s="14" t="s">
        <v>809</v>
      </c>
      <c r="J846" s="14" t="s">
        <v>29</v>
      </c>
      <c r="K846" s="15" t="s">
        <v>64</v>
      </c>
      <c r="L846" s="14" t="s">
        <v>845</v>
      </c>
      <c r="M846" s="14" t="s">
        <v>811</v>
      </c>
      <c r="N846" s="14" t="s">
        <v>67</v>
      </c>
      <c r="O846" s="14"/>
      <c r="P846" s="15" t="s">
        <v>1143</v>
      </c>
      <c r="Q846" s="16">
        <v>9999</v>
      </c>
      <c r="R846" s="17">
        <v>45.99</v>
      </c>
      <c r="S846" s="18">
        <v>6209.9884999999995</v>
      </c>
      <c r="T846" s="19" t="s">
        <v>36</v>
      </c>
      <c r="U846" s="20" t="s">
        <v>820</v>
      </c>
      <c r="V846" s="22">
        <v>36</v>
      </c>
      <c r="W846" s="22">
        <v>2</v>
      </c>
      <c r="X846" s="23"/>
    </row>
    <row r="847" spans="1:24" s="1" customFormat="1" ht="108" customHeight="1" x14ac:dyDescent="0.3">
      <c r="A847" s="11" t="s">
        <v>23</v>
      </c>
      <c r="B847" s="11" t="s">
        <v>843</v>
      </c>
      <c r="C847" s="12" t="s">
        <v>1144</v>
      </c>
      <c r="D847" s="25"/>
      <c r="E847" s="39" t="str">
        <f>HYPERLINK("https://www.google.ru/search?q=3025060-604&amp;newwindow=1&amp;tbm=isch","Еще фото")</f>
        <v>Еще фото</v>
      </c>
      <c r="F847" s="13"/>
      <c r="G847" s="11" t="s">
        <v>808</v>
      </c>
      <c r="H847" s="11" t="s">
        <v>593</v>
      </c>
      <c r="I847" s="14" t="s">
        <v>809</v>
      </c>
      <c r="J847" s="14" t="s">
        <v>29</v>
      </c>
      <c r="K847" s="15" t="s">
        <v>64</v>
      </c>
      <c r="L847" s="14" t="s">
        <v>845</v>
      </c>
      <c r="M847" s="14" t="s">
        <v>811</v>
      </c>
      <c r="N847" s="14" t="s">
        <v>57</v>
      </c>
      <c r="O847" s="14"/>
      <c r="P847" s="15" t="s">
        <v>1145</v>
      </c>
      <c r="Q847" s="16">
        <v>9999</v>
      </c>
      <c r="R847" s="17">
        <v>45.99</v>
      </c>
      <c r="S847" s="18">
        <v>6209.9884999999995</v>
      </c>
      <c r="T847" s="19" t="s">
        <v>36</v>
      </c>
      <c r="U847" s="20" t="s">
        <v>598</v>
      </c>
      <c r="V847" s="22">
        <v>37</v>
      </c>
      <c r="W847" s="22">
        <v>1</v>
      </c>
      <c r="X847" s="23"/>
    </row>
    <row r="848" spans="1:24" s="1" customFormat="1" ht="108" customHeight="1" x14ac:dyDescent="0.3">
      <c r="A848" s="11" t="s">
        <v>23</v>
      </c>
      <c r="B848" s="11" t="s">
        <v>1146</v>
      </c>
      <c r="C848" s="12" t="s">
        <v>1147</v>
      </c>
      <c r="D848" s="25"/>
      <c r="E848" s="39" t="str">
        <f>HYPERLINK("https://www.google.ru/search?q=3025424-104&amp;newwindow=1&amp;tbm=isch","Еще фото")</f>
        <v>Еще фото</v>
      </c>
      <c r="F848" s="13"/>
      <c r="G848" s="11" t="s">
        <v>808</v>
      </c>
      <c r="H848" s="11" t="s">
        <v>593</v>
      </c>
      <c r="I848" s="14" t="s">
        <v>809</v>
      </c>
      <c r="J848" s="14" t="s">
        <v>29</v>
      </c>
      <c r="K848" s="15" t="s">
        <v>30</v>
      </c>
      <c r="L848" s="14" t="s">
        <v>1148</v>
      </c>
      <c r="M848" s="14" t="s">
        <v>811</v>
      </c>
      <c r="N848" s="14" t="s">
        <v>1149</v>
      </c>
      <c r="O848" s="14"/>
      <c r="P848" s="15" t="s">
        <v>1150</v>
      </c>
      <c r="Q848" s="16">
        <v>9999</v>
      </c>
      <c r="R848" s="17">
        <v>45.99</v>
      </c>
      <c r="S848" s="18">
        <v>6209.9884999999995</v>
      </c>
      <c r="T848" s="19" t="s">
        <v>36</v>
      </c>
      <c r="U848" s="20" t="s">
        <v>602</v>
      </c>
      <c r="V848" s="28">
        <v>41.5</v>
      </c>
      <c r="W848" s="22">
        <v>1</v>
      </c>
      <c r="X848" s="23"/>
    </row>
    <row r="849" spans="1:24" s="1" customFormat="1" ht="108" customHeight="1" x14ac:dyDescent="0.3">
      <c r="A849" s="11" t="s">
        <v>23</v>
      </c>
      <c r="B849" s="11" t="s">
        <v>1151</v>
      </c>
      <c r="C849" s="12" t="s">
        <v>1152</v>
      </c>
      <c r="D849" s="25"/>
      <c r="E849" s="39" t="str">
        <f>HYPERLINK("https://www.google.ru/search?q=1296199-001&amp;newwindow=1&amp;tbm=isch","Еще фото")</f>
        <v>Еще фото</v>
      </c>
      <c r="F849" s="13"/>
      <c r="G849" s="11" t="s">
        <v>808</v>
      </c>
      <c r="H849" s="11" t="s">
        <v>593</v>
      </c>
      <c r="I849" s="14" t="s">
        <v>809</v>
      </c>
      <c r="J849" s="14" t="s">
        <v>29</v>
      </c>
      <c r="K849" s="15" t="s">
        <v>64</v>
      </c>
      <c r="L849" s="14" t="s">
        <v>1153</v>
      </c>
      <c r="M849" s="14" t="s">
        <v>986</v>
      </c>
      <c r="N849" s="14" t="s">
        <v>33</v>
      </c>
      <c r="O849" s="14" t="s">
        <v>34</v>
      </c>
      <c r="P849" s="15" t="s">
        <v>933</v>
      </c>
      <c r="Q849" s="16">
        <v>9799</v>
      </c>
      <c r="R849" s="17">
        <v>45.91</v>
      </c>
      <c r="S849" s="18">
        <v>6094.9884999999995</v>
      </c>
      <c r="T849" s="19" t="s">
        <v>36</v>
      </c>
      <c r="U849" s="20" t="s">
        <v>863</v>
      </c>
      <c r="V849" s="22">
        <v>35</v>
      </c>
      <c r="W849" s="22">
        <v>2</v>
      </c>
      <c r="X849" s="23"/>
    </row>
    <row r="850" spans="1:24" s="1" customFormat="1" ht="108" customHeight="1" x14ac:dyDescent="0.3">
      <c r="A850" s="11" t="s">
        <v>23</v>
      </c>
      <c r="B850" s="11" t="s">
        <v>815</v>
      </c>
      <c r="C850" s="12" t="s">
        <v>1154</v>
      </c>
      <c r="D850" s="25"/>
      <c r="E850" s="39" t="str">
        <f>HYPERLINK("https://www.google.ru/search?q=3024889-111&amp;newwindow=1&amp;tbm=isch","Еще фото")</f>
        <v>Еще фото</v>
      </c>
      <c r="F850" s="13"/>
      <c r="G850" s="11" t="s">
        <v>808</v>
      </c>
      <c r="H850" s="11" t="s">
        <v>593</v>
      </c>
      <c r="I850" s="14" t="s">
        <v>809</v>
      </c>
      <c r="J850" s="14" t="s">
        <v>29</v>
      </c>
      <c r="K850" s="15" t="s">
        <v>64</v>
      </c>
      <c r="L850" s="14" t="s">
        <v>818</v>
      </c>
      <c r="M850" s="14" t="s">
        <v>811</v>
      </c>
      <c r="N850" s="14" t="s">
        <v>84</v>
      </c>
      <c r="O850" s="14"/>
      <c r="P850" s="15" t="s">
        <v>827</v>
      </c>
      <c r="Q850" s="16">
        <v>8499</v>
      </c>
      <c r="R850" s="17">
        <v>45.88</v>
      </c>
      <c r="S850" s="18">
        <v>5289.9884999999995</v>
      </c>
      <c r="T850" s="19" t="s">
        <v>36</v>
      </c>
      <c r="U850" s="20" t="s">
        <v>598</v>
      </c>
      <c r="V850" s="22">
        <v>37</v>
      </c>
      <c r="W850" s="22">
        <v>3</v>
      </c>
      <c r="X850" s="23"/>
    </row>
    <row r="851" spans="1:24" s="1" customFormat="1" ht="51.95" customHeight="1" x14ac:dyDescent="0.3">
      <c r="A851" s="11" t="s">
        <v>23</v>
      </c>
      <c r="B851" s="11" t="s">
        <v>881</v>
      </c>
      <c r="C851" s="12" t="s">
        <v>1155</v>
      </c>
      <c r="D851" s="59"/>
      <c r="E851" s="39" t="str">
        <f>HYPERLINK("https://www.google.ru/search?q=3027006-014&amp;newwindow=1&amp;tbm=isch","Еще фото")</f>
        <v>Еще фото</v>
      </c>
      <c r="F851" s="13" t="s">
        <v>98</v>
      </c>
      <c r="G851" s="11" t="s">
        <v>808</v>
      </c>
      <c r="H851" s="11" t="s">
        <v>593</v>
      </c>
      <c r="I851" s="14" t="s">
        <v>809</v>
      </c>
      <c r="J851" s="14" t="s">
        <v>29</v>
      </c>
      <c r="K851" s="15" t="s">
        <v>64</v>
      </c>
      <c r="L851" s="56" t="s">
        <v>883</v>
      </c>
      <c r="M851" s="14"/>
      <c r="N851" s="14" t="s">
        <v>84</v>
      </c>
      <c r="O851" s="14"/>
      <c r="P851" s="15" t="s">
        <v>884</v>
      </c>
      <c r="Q851" s="16">
        <v>8499</v>
      </c>
      <c r="R851" s="17">
        <v>45.88</v>
      </c>
      <c r="S851" s="18">
        <v>5289.9884999999995</v>
      </c>
      <c r="T851" s="19" t="s">
        <v>36</v>
      </c>
      <c r="U851" s="20" t="s">
        <v>814</v>
      </c>
      <c r="V851" s="28">
        <v>36.5</v>
      </c>
      <c r="W851" s="22">
        <v>1</v>
      </c>
      <c r="X851" s="23"/>
    </row>
    <row r="852" spans="1:24" s="1" customFormat="1" ht="60.95" customHeight="1" x14ac:dyDescent="0.3">
      <c r="A852" s="24" t="s">
        <v>23</v>
      </c>
      <c r="B852" s="24" t="s">
        <v>881</v>
      </c>
      <c r="C852" s="12" t="s">
        <v>1155</v>
      </c>
      <c r="D852" s="60"/>
      <c r="E852" s="39" t="str">
        <f>HYPERLINK("https://www.google.ru/search?q=3027006-014&amp;newwindow=1&amp;tbm=isch","Еще фото")</f>
        <v>Еще фото</v>
      </c>
      <c r="F852" s="13" t="s">
        <v>98</v>
      </c>
      <c r="G852" s="24" t="s">
        <v>808</v>
      </c>
      <c r="H852" s="24" t="s">
        <v>593</v>
      </c>
      <c r="I852" s="24" t="s">
        <v>809</v>
      </c>
      <c r="J852" s="14" t="s">
        <v>29</v>
      </c>
      <c r="K852" s="15" t="s">
        <v>64</v>
      </c>
      <c r="L852" s="58"/>
      <c r="M852" s="14"/>
      <c r="N852" s="14" t="s">
        <v>84</v>
      </c>
      <c r="O852" s="14"/>
      <c r="P852" s="15" t="s">
        <v>884</v>
      </c>
      <c r="Q852" s="16">
        <v>8499</v>
      </c>
      <c r="R852" s="17">
        <v>45.88</v>
      </c>
      <c r="S852" s="18">
        <v>5289.9884999999995</v>
      </c>
      <c r="T852" s="19" t="s">
        <v>36</v>
      </c>
      <c r="U852" s="20" t="s">
        <v>603</v>
      </c>
      <c r="V852" s="22">
        <v>40</v>
      </c>
      <c r="W852" s="22">
        <v>1</v>
      </c>
      <c r="X852" s="23"/>
    </row>
    <row r="853" spans="1:24" s="1" customFormat="1" ht="35.1" customHeight="1" x14ac:dyDescent="0.3">
      <c r="A853" s="11" t="s">
        <v>23</v>
      </c>
      <c r="B853" s="11" t="s">
        <v>1047</v>
      </c>
      <c r="C853" s="12" t="s">
        <v>1156</v>
      </c>
      <c r="D853" s="53"/>
      <c r="E853" s="39" t="str">
        <f>HYPERLINK("https://www.google.ru/search?q=3024877-101&amp;newwindow=1&amp;tbm=isch","Еще фото")</f>
        <v>Еще фото</v>
      </c>
      <c r="F853" s="13"/>
      <c r="G853" s="11" t="s">
        <v>808</v>
      </c>
      <c r="H853" s="11" t="s">
        <v>593</v>
      </c>
      <c r="I853" s="14" t="s">
        <v>809</v>
      </c>
      <c r="J853" s="14" t="s">
        <v>29</v>
      </c>
      <c r="K853" s="15" t="s">
        <v>30</v>
      </c>
      <c r="L853" s="56" t="s">
        <v>989</v>
      </c>
      <c r="M853" s="14" t="s">
        <v>811</v>
      </c>
      <c r="N853" s="14" t="s">
        <v>84</v>
      </c>
      <c r="O853" s="14"/>
      <c r="P853" s="15" t="s">
        <v>1049</v>
      </c>
      <c r="Q853" s="16">
        <v>10899</v>
      </c>
      <c r="R853" s="17">
        <v>45.87</v>
      </c>
      <c r="S853" s="18">
        <v>6784.9884999999995</v>
      </c>
      <c r="T853" s="19" t="s">
        <v>36</v>
      </c>
      <c r="U853" s="20" t="s">
        <v>598</v>
      </c>
      <c r="V853" s="22">
        <v>39</v>
      </c>
      <c r="W853" s="22">
        <v>1</v>
      </c>
      <c r="X853" s="23"/>
    </row>
    <row r="854" spans="1:24" s="1" customFormat="1" ht="35.1" customHeight="1" x14ac:dyDescent="0.3">
      <c r="A854" s="24" t="s">
        <v>23</v>
      </c>
      <c r="B854" s="24" t="s">
        <v>1047</v>
      </c>
      <c r="C854" s="12" t="s">
        <v>1156</v>
      </c>
      <c r="D854" s="54"/>
      <c r="E854" s="39" t="str">
        <f>HYPERLINK("https://www.google.ru/search?q=3024877-101&amp;newwindow=1&amp;tbm=isch","Еще фото")</f>
        <v>Еще фото</v>
      </c>
      <c r="F854" s="13"/>
      <c r="G854" s="24" t="s">
        <v>808</v>
      </c>
      <c r="H854" s="24" t="s">
        <v>593</v>
      </c>
      <c r="I854" s="24" t="s">
        <v>809</v>
      </c>
      <c r="J854" s="14" t="s">
        <v>29</v>
      </c>
      <c r="K854" s="15" t="s">
        <v>30</v>
      </c>
      <c r="L854" s="57"/>
      <c r="M854" s="14" t="s">
        <v>811</v>
      </c>
      <c r="N854" s="14" t="s">
        <v>84</v>
      </c>
      <c r="O854" s="14"/>
      <c r="P854" s="15" t="s">
        <v>1049</v>
      </c>
      <c r="Q854" s="16">
        <v>10899</v>
      </c>
      <c r="R854" s="17">
        <v>45.87</v>
      </c>
      <c r="S854" s="18">
        <v>6784.9884999999995</v>
      </c>
      <c r="T854" s="19" t="s">
        <v>36</v>
      </c>
      <c r="U854" s="20" t="s">
        <v>599</v>
      </c>
      <c r="V854" s="28">
        <v>39.5</v>
      </c>
      <c r="W854" s="22">
        <v>3</v>
      </c>
      <c r="X854" s="23"/>
    </row>
    <row r="855" spans="1:24" s="1" customFormat="1" ht="36.950000000000003" customHeight="1" x14ac:dyDescent="0.3">
      <c r="A855" s="24" t="s">
        <v>23</v>
      </c>
      <c r="B855" s="24" t="s">
        <v>1047</v>
      </c>
      <c r="C855" s="12" t="s">
        <v>1156</v>
      </c>
      <c r="D855" s="55"/>
      <c r="E855" s="39" t="str">
        <f>HYPERLINK("https://www.google.ru/search?q=3024877-101&amp;newwindow=1&amp;tbm=isch","Еще фото")</f>
        <v>Еще фото</v>
      </c>
      <c r="F855" s="13"/>
      <c r="G855" s="24" t="s">
        <v>808</v>
      </c>
      <c r="H855" s="24" t="s">
        <v>593</v>
      </c>
      <c r="I855" s="24" t="s">
        <v>809</v>
      </c>
      <c r="J855" s="14" t="s">
        <v>29</v>
      </c>
      <c r="K855" s="15" t="s">
        <v>30</v>
      </c>
      <c r="L855" s="58"/>
      <c r="M855" s="14" t="s">
        <v>811</v>
      </c>
      <c r="N855" s="14" t="s">
        <v>84</v>
      </c>
      <c r="O855" s="14"/>
      <c r="P855" s="15" t="s">
        <v>1049</v>
      </c>
      <c r="Q855" s="16">
        <v>10899</v>
      </c>
      <c r="R855" s="17">
        <v>45.87</v>
      </c>
      <c r="S855" s="18">
        <v>6784.9884999999995</v>
      </c>
      <c r="T855" s="19" t="s">
        <v>36</v>
      </c>
      <c r="U855" s="20" t="s">
        <v>600</v>
      </c>
      <c r="V855" s="22">
        <v>40</v>
      </c>
      <c r="W855" s="22">
        <v>1</v>
      </c>
      <c r="X855" s="23"/>
    </row>
    <row r="856" spans="1:24" s="1" customFormat="1" ht="108" customHeight="1" x14ac:dyDescent="0.3">
      <c r="A856" s="11" t="s">
        <v>23</v>
      </c>
      <c r="B856" s="11" t="s">
        <v>1157</v>
      </c>
      <c r="C856" s="12" t="s">
        <v>1158</v>
      </c>
      <c r="D856" s="25"/>
      <c r="E856" s="39" t="str">
        <f>HYPERLINK("https://www.google.ru/search?q=3023703-005&amp;newwindow=1&amp;tbm=isch","Еще фото")</f>
        <v>Еще фото</v>
      </c>
      <c r="F856" s="13"/>
      <c r="G856" s="11" t="s">
        <v>808</v>
      </c>
      <c r="H856" s="11" t="s">
        <v>593</v>
      </c>
      <c r="I856" s="14" t="s">
        <v>809</v>
      </c>
      <c r="J856" s="14" t="s">
        <v>29</v>
      </c>
      <c r="K856" s="15" t="s">
        <v>30</v>
      </c>
      <c r="L856" s="14" t="s">
        <v>1159</v>
      </c>
      <c r="M856" s="14" t="s">
        <v>959</v>
      </c>
      <c r="N856" s="14" t="s">
        <v>33</v>
      </c>
      <c r="O856" s="14"/>
      <c r="P856" s="15" t="s">
        <v>1160</v>
      </c>
      <c r="Q856" s="16">
        <v>11999</v>
      </c>
      <c r="R856" s="17">
        <v>45.83</v>
      </c>
      <c r="S856" s="18">
        <v>7474.9884999999995</v>
      </c>
      <c r="T856" s="19" t="s">
        <v>36</v>
      </c>
      <c r="U856" s="20" t="s">
        <v>601</v>
      </c>
      <c r="V856" s="22">
        <v>41</v>
      </c>
      <c r="W856" s="22">
        <v>2</v>
      </c>
      <c r="X856" s="23"/>
    </row>
    <row r="857" spans="1:24" s="1" customFormat="1" ht="108" customHeight="1" x14ac:dyDescent="0.3">
      <c r="A857" s="11" t="s">
        <v>23</v>
      </c>
      <c r="B857" s="11" t="s">
        <v>1161</v>
      </c>
      <c r="C857" s="12" t="s">
        <v>1162</v>
      </c>
      <c r="D857" s="25"/>
      <c r="E857" s="39" t="str">
        <f>HYPERLINK("https://www.google.ru/search?q=3025053-001&amp;newwindow=1&amp;tbm=isch","Еще фото")</f>
        <v>Еще фото</v>
      </c>
      <c r="F857" s="13"/>
      <c r="G857" s="11" t="s">
        <v>808</v>
      </c>
      <c r="H857" s="11" t="s">
        <v>593</v>
      </c>
      <c r="I857" s="14" t="s">
        <v>809</v>
      </c>
      <c r="J857" s="14" t="s">
        <v>29</v>
      </c>
      <c r="K857" s="15" t="s">
        <v>64</v>
      </c>
      <c r="L857" s="14" t="s">
        <v>1163</v>
      </c>
      <c r="M857" s="14" t="s">
        <v>1164</v>
      </c>
      <c r="N857" s="14" t="s">
        <v>33</v>
      </c>
      <c r="O857" s="14"/>
      <c r="P857" s="15" t="s">
        <v>1165</v>
      </c>
      <c r="Q857" s="16">
        <v>11999</v>
      </c>
      <c r="R857" s="17">
        <v>45.83</v>
      </c>
      <c r="S857" s="18">
        <v>7474.9884999999995</v>
      </c>
      <c r="T857" s="19" t="s">
        <v>36</v>
      </c>
      <c r="U857" s="20" t="s">
        <v>598</v>
      </c>
      <c r="V857" s="22">
        <v>37</v>
      </c>
      <c r="W857" s="22">
        <v>1</v>
      </c>
      <c r="X857" s="23"/>
    </row>
    <row r="858" spans="1:24" s="1" customFormat="1" ht="108" customHeight="1" x14ac:dyDescent="0.3">
      <c r="A858" s="11" t="s">
        <v>23</v>
      </c>
      <c r="B858" s="11" t="s">
        <v>1166</v>
      </c>
      <c r="C858" s="12" t="s">
        <v>1167</v>
      </c>
      <c r="D858" s="25"/>
      <c r="E858" s="39" t="str">
        <f>HYPERLINK("https://www.google.ru/search?q=3025527-602&amp;newwindow=1&amp;tbm=isch","Еще фото")</f>
        <v>Еще фото</v>
      </c>
      <c r="F858" s="13"/>
      <c r="G858" s="11" t="s">
        <v>808</v>
      </c>
      <c r="H858" s="11" t="s">
        <v>593</v>
      </c>
      <c r="I858" s="14" t="s">
        <v>809</v>
      </c>
      <c r="J858" s="14" t="s">
        <v>29</v>
      </c>
      <c r="K858" s="15" t="s">
        <v>30</v>
      </c>
      <c r="L858" s="14" t="s">
        <v>1168</v>
      </c>
      <c r="M858" s="14" t="s">
        <v>811</v>
      </c>
      <c r="N858" s="14" t="s">
        <v>670</v>
      </c>
      <c r="O858" s="14"/>
      <c r="P858" s="15" t="s">
        <v>1169</v>
      </c>
      <c r="Q858" s="16">
        <v>11999</v>
      </c>
      <c r="R858" s="17">
        <v>45.83</v>
      </c>
      <c r="S858" s="18">
        <v>7474.9884999999995</v>
      </c>
      <c r="T858" s="19" t="s">
        <v>36</v>
      </c>
      <c r="U858" s="20" t="s">
        <v>602</v>
      </c>
      <c r="V858" s="28">
        <v>41.5</v>
      </c>
      <c r="W858" s="22">
        <v>1</v>
      </c>
      <c r="X858" s="23"/>
    </row>
    <row r="859" spans="1:24" s="1" customFormat="1" ht="51.95" customHeight="1" x14ac:dyDescent="0.3">
      <c r="A859" s="11" t="s">
        <v>23</v>
      </c>
      <c r="B859" s="11" t="s">
        <v>1170</v>
      </c>
      <c r="C859" s="12" t="s">
        <v>1171</v>
      </c>
      <c r="D859" s="59"/>
      <c r="E859" s="39" t="str">
        <f>HYPERLINK("https://www.google.ru/search?q=3026679-401&amp;newwindow=1&amp;tbm=isch","Еще фото")</f>
        <v>Еще фото</v>
      </c>
      <c r="F859" s="13"/>
      <c r="G859" s="11" t="s">
        <v>808</v>
      </c>
      <c r="H859" s="11" t="s">
        <v>593</v>
      </c>
      <c r="I859" s="14" t="s">
        <v>809</v>
      </c>
      <c r="J859" s="14" t="s">
        <v>29</v>
      </c>
      <c r="K859" s="15" t="s">
        <v>30</v>
      </c>
      <c r="L859" s="56" t="s">
        <v>1172</v>
      </c>
      <c r="M859" s="14" t="s">
        <v>811</v>
      </c>
      <c r="N859" s="14" t="s">
        <v>91</v>
      </c>
      <c r="O859" s="14"/>
      <c r="P859" s="15" t="s">
        <v>1173</v>
      </c>
      <c r="Q859" s="16">
        <v>11999</v>
      </c>
      <c r="R859" s="17">
        <v>45.83</v>
      </c>
      <c r="S859" s="18">
        <v>7474.9884999999995</v>
      </c>
      <c r="T859" s="19" t="s">
        <v>36</v>
      </c>
      <c r="U859" s="20" t="s">
        <v>599</v>
      </c>
      <c r="V859" s="28">
        <v>39.5</v>
      </c>
      <c r="W859" s="22">
        <v>2</v>
      </c>
      <c r="X859" s="23"/>
    </row>
    <row r="860" spans="1:24" s="1" customFormat="1" ht="60.95" customHeight="1" x14ac:dyDescent="0.3">
      <c r="A860" s="24" t="s">
        <v>23</v>
      </c>
      <c r="B860" s="24" t="s">
        <v>1170</v>
      </c>
      <c r="C860" s="12" t="s">
        <v>1171</v>
      </c>
      <c r="D860" s="60"/>
      <c r="E860" s="39" t="str">
        <f>HYPERLINK("https://www.google.ru/search?q=3026679-401&amp;newwindow=1&amp;tbm=isch","Еще фото")</f>
        <v>Еще фото</v>
      </c>
      <c r="F860" s="13"/>
      <c r="G860" s="24" t="s">
        <v>808</v>
      </c>
      <c r="H860" s="24" t="s">
        <v>593</v>
      </c>
      <c r="I860" s="24" t="s">
        <v>809</v>
      </c>
      <c r="J860" s="14" t="s">
        <v>29</v>
      </c>
      <c r="K860" s="15" t="s">
        <v>30</v>
      </c>
      <c r="L860" s="58"/>
      <c r="M860" s="14" t="s">
        <v>811</v>
      </c>
      <c r="N860" s="14" t="s">
        <v>91</v>
      </c>
      <c r="O860" s="14"/>
      <c r="P860" s="15" t="s">
        <v>1173</v>
      </c>
      <c r="Q860" s="16">
        <v>11999</v>
      </c>
      <c r="R860" s="17">
        <v>45.83</v>
      </c>
      <c r="S860" s="18">
        <v>7474.9884999999995</v>
      </c>
      <c r="T860" s="19" t="s">
        <v>36</v>
      </c>
      <c r="U860" s="20" t="s">
        <v>601</v>
      </c>
      <c r="V860" s="22">
        <v>41</v>
      </c>
      <c r="W860" s="22">
        <v>1</v>
      </c>
      <c r="X860" s="23"/>
    </row>
    <row r="861" spans="1:24" s="1" customFormat="1" ht="108" customHeight="1" x14ac:dyDescent="0.3">
      <c r="A861" s="11" t="s">
        <v>23</v>
      </c>
      <c r="B861" s="11" t="s">
        <v>1085</v>
      </c>
      <c r="C861" s="12" t="s">
        <v>1174</v>
      </c>
      <c r="D861" s="25"/>
      <c r="E861" s="39" t="str">
        <f>HYPERLINK("https://www.google.ru/search?q=3026998-100&amp;newwindow=1&amp;tbm=isch","Еще фото")</f>
        <v>Еще фото</v>
      </c>
      <c r="F861" s="13"/>
      <c r="G861" s="11" t="s">
        <v>808</v>
      </c>
      <c r="H861" s="11" t="s">
        <v>593</v>
      </c>
      <c r="I861" s="14" t="s">
        <v>809</v>
      </c>
      <c r="J861" s="14" t="s">
        <v>29</v>
      </c>
      <c r="K861" s="15" t="s">
        <v>30</v>
      </c>
      <c r="L861" s="14" t="s">
        <v>1087</v>
      </c>
      <c r="M861" s="14"/>
      <c r="N861" s="14" t="s">
        <v>84</v>
      </c>
      <c r="O861" s="14"/>
      <c r="P861" s="15" t="s">
        <v>1039</v>
      </c>
      <c r="Q861" s="16">
        <v>11999</v>
      </c>
      <c r="R861" s="17">
        <v>45.83</v>
      </c>
      <c r="S861" s="18">
        <v>7474.9884999999995</v>
      </c>
      <c r="T861" s="19" t="s">
        <v>36</v>
      </c>
      <c r="U861" s="20" t="s">
        <v>601</v>
      </c>
      <c r="V861" s="22">
        <v>41</v>
      </c>
      <c r="W861" s="22">
        <v>1</v>
      </c>
      <c r="X861" s="23"/>
    </row>
    <row r="862" spans="1:24" s="1" customFormat="1" ht="108" customHeight="1" x14ac:dyDescent="0.3">
      <c r="A862" s="11" t="s">
        <v>23</v>
      </c>
      <c r="B862" s="11" t="s">
        <v>1175</v>
      </c>
      <c r="C862" s="12" t="s">
        <v>1176</v>
      </c>
      <c r="D862" s="25"/>
      <c r="E862" s="39" t="str">
        <f>HYPERLINK("https://www.google.ru/search?q=3028375-378&amp;newwindow=1&amp;tbm=isch","Еще фото")</f>
        <v>Еще фото</v>
      </c>
      <c r="F862" s="13"/>
      <c r="G862" s="11" t="s">
        <v>808</v>
      </c>
      <c r="H862" s="11" t="s">
        <v>593</v>
      </c>
      <c r="I862" s="14" t="s">
        <v>809</v>
      </c>
      <c r="J862" s="14" t="s">
        <v>29</v>
      </c>
      <c r="K862" s="15" t="s">
        <v>30</v>
      </c>
      <c r="L862" s="14" t="s">
        <v>1177</v>
      </c>
      <c r="M862" s="14"/>
      <c r="N862" s="14" t="s">
        <v>125</v>
      </c>
      <c r="O862" s="14"/>
      <c r="P862" s="15" t="s">
        <v>1178</v>
      </c>
      <c r="Q862" s="16">
        <v>9399</v>
      </c>
      <c r="R862" s="17">
        <v>45.74</v>
      </c>
      <c r="S862" s="18">
        <v>5864.9884999999995</v>
      </c>
      <c r="T862" s="19" t="s">
        <v>36</v>
      </c>
      <c r="U862" s="20" t="s">
        <v>602</v>
      </c>
      <c r="V862" s="28">
        <v>41.5</v>
      </c>
      <c r="W862" s="22">
        <v>1</v>
      </c>
      <c r="X862" s="23"/>
    </row>
    <row r="863" spans="1:24" s="1" customFormat="1" ht="108" customHeight="1" x14ac:dyDescent="0.3">
      <c r="A863" s="11" t="s">
        <v>23</v>
      </c>
      <c r="B863" s="11" t="s">
        <v>1179</v>
      </c>
      <c r="C863" s="12" t="s">
        <v>1180</v>
      </c>
      <c r="D863" s="25"/>
      <c r="E863" s="39" t="str">
        <f>HYPERLINK("https://www.google.ru/search?q=3026520-004&amp;newwindow=1&amp;tbm=isch","Еще фото")</f>
        <v>Еще фото</v>
      </c>
      <c r="F863" s="13"/>
      <c r="G863" s="11" t="s">
        <v>808</v>
      </c>
      <c r="H863" s="11" t="s">
        <v>593</v>
      </c>
      <c r="I863" s="14" t="s">
        <v>809</v>
      </c>
      <c r="J863" s="14" t="s">
        <v>29</v>
      </c>
      <c r="K863" s="15" t="s">
        <v>30</v>
      </c>
      <c r="L863" s="14" t="s">
        <v>1181</v>
      </c>
      <c r="M863" s="14" t="s">
        <v>824</v>
      </c>
      <c r="N863" s="14" t="s">
        <v>33</v>
      </c>
      <c r="O863" s="14"/>
      <c r="P863" s="15" t="s">
        <v>1182</v>
      </c>
      <c r="Q863" s="16">
        <v>13999</v>
      </c>
      <c r="R863" s="17">
        <v>45.71</v>
      </c>
      <c r="S863" s="18">
        <v>8739.9884999999995</v>
      </c>
      <c r="T863" s="19" t="s">
        <v>36</v>
      </c>
      <c r="U863" s="20" t="s">
        <v>598</v>
      </c>
      <c r="V863" s="22">
        <v>39</v>
      </c>
      <c r="W863" s="22">
        <v>1</v>
      </c>
      <c r="X863" s="23"/>
    </row>
    <row r="864" spans="1:24" s="1" customFormat="1" ht="108" customHeight="1" x14ac:dyDescent="0.3">
      <c r="A864" s="11" t="s">
        <v>23</v>
      </c>
      <c r="B864" s="11" t="s">
        <v>1085</v>
      </c>
      <c r="C864" s="12" t="s">
        <v>1183</v>
      </c>
      <c r="D864" s="25"/>
      <c r="E864" s="39" t="str">
        <f>HYPERLINK("https://www.google.ru/search?q=3026998-104&amp;newwindow=1&amp;tbm=isch","Еще фото")</f>
        <v>Еще фото</v>
      </c>
      <c r="F864" s="13"/>
      <c r="G864" s="11" t="s">
        <v>808</v>
      </c>
      <c r="H864" s="11" t="s">
        <v>593</v>
      </c>
      <c r="I864" s="14" t="s">
        <v>809</v>
      </c>
      <c r="J864" s="14" t="s">
        <v>29</v>
      </c>
      <c r="K864" s="15" t="s">
        <v>30</v>
      </c>
      <c r="L864" s="14" t="s">
        <v>1184</v>
      </c>
      <c r="M864" s="14"/>
      <c r="N864" s="14" t="s">
        <v>1185</v>
      </c>
      <c r="O864" s="14"/>
      <c r="P864" s="15" t="s">
        <v>1039</v>
      </c>
      <c r="Q864" s="16">
        <v>13999</v>
      </c>
      <c r="R864" s="17">
        <v>45.71</v>
      </c>
      <c r="S864" s="18">
        <v>8739.9884999999995</v>
      </c>
      <c r="T864" s="19" t="s">
        <v>36</v>
      </c>
      <c r="U864" s="20" t="s">
        <v>599</v>
      </c>
      <c r="V864" s="28">
        <v>39.5</v>
      </c>
      <c r="W864" s="22">
        <v>1</v>
      </c>
      <c r="X864" s="23"/>
    </row>
    <row r="865" spans="1:24" s="1" customFormat="1" ht="108" customHeight="1" x14ac:dyDescent="0.3">
      <c r="A865" s="11" t="s">
        <v>23</v>
      </c>
      <c r="B865" s="11" t="s">
        <v>838</v>
      </c>
      <c r="C865" s="12" t="s">
        <v>1186</v>
      </c>
      <c r="D865" s="25"/>
      <c r="E865" s="39" t="str">
        <f>HYPERLINK("https://www.google.ru/search?q=3027206-001&amp;newwindow=1&amp;tbm=isch","Еще фото")</f>
        <v>Еще фото</v>
      </c>
      <c r="F865" s="13"/>
      <c r="G865" s="11" t="s">
        <v>808</v>
      </c>
      <c r="H865" s="11" t="s">
        <v>593</v>
      </c>
      <c r="I865" s="14" t="s">
        <v>809</v>
      </c>
      <c r="J865" s="14" t="s">
        <v>840</v>
      </c>
      <c r="K865" s="15" t="s">
        <v>30</v>
      </c>
      <c r="L865" s="14" t="s">
        <v>841</v>
      </c>
      <c r="M865" s="14"/>
      <c r="N865" s="14" t="s">
        <v>33</v>
      </c>
      <c r="O865" s="14"/>
      <c r="P865" s="15" t="s">
        <v>842</v>
      </c>
      <c r="Q865" s="16">
        <v>13999</v>
      </c>
      <c r="R865" s="17">
        <v>45.71</v>
      </c>
      <c r="S865" s="18">
        <v>8739.9884999999995</v>
      </c>
      <c r="T865" s="19" t="s">
        <v>36</v>
      </c>
      <c r="U865" s="20" t="s">
        <v>598</v>
      </c>
      <c r="V865" s="22">
        <v>39</v>
      </c>
      <c r="W865" s="22">
        <v>1</v>
      </c>
      <c r="X865" s="23"/>
    </row>
    <row r="866" spans="1:24" s="1" customFormat="1" ht="108" customHeight="1" x14ac:dyDescent="0.3">
      <c r="A866" s="11" t="s">
        <v>23</v>
      </c>
      <c r="B866" s="11" t="s">
        <v>1187</v>
      </c>
      <c r="C866" s="12" t="s">
        <v>1188</v>
      </c>
      <c r="D866" s="25"/>
      <c r="E866" s="39" t="str">
        <f>HYPERLINK("https://www.google.ru/search?q=6003014-014&amp;newwindow=1&amp;tbm=isch","Еще фото")</f>
        <v>Еще фото</v>
      </c>
      <c r="F866" s="13" t="s">
        <v>98</v>
      </c>
      <c r="G866" s="11" t="s">
        <v>808</v>
      </c>
      <c r="H866" s="11" t="s">
        <v>593</v>
      </c>
      <c r="I866" s="14" t="s">
        <v>809</v>
      </c>
      <c r="J866" s="14" t="s">
        <v>29</v>
      </c>
      <c r="K866" s="15" t="s">
        <v>64</v>
      </c>
      <c r="L866" s="14" t="s">
        <v>1189</v>
      </c>
      <c r="M866" s="14"/>
      <c r="N866" s="14" t="s">
        <v>84</v>
      </c>
      <c r="O866" s="14"/>
      <c r="P866" s="15" t="s">
        <v>1190</v>
      </c>
      <c r="Q866" s="16">
        <v>9199</v>
      </c>
      <c r="R866" s="17">
        <v>45.65</v>
      </c>
      <c r="S866" s="18">
        <v>5749.9884999999995</v>
      </c>
      <c r="T866" s="19" t="s">
        <v>36</v>
      </c>
      <c r="U866" s="20" t="s">
        <v>820</v>
      </c>
      <c r="V866" s="22">
        <v>36</v>
      </c>
      <c r="W866" s="22">
        <v>1</v>
      </c>
      <c r="X866" s="23"/>
    </row>
    <row r="867" spans="1:24" s="1" customFormat="1" ht="51.95" customHeight="1" x14ac:dyDescent="0.3">
      <c r="A867" s="11" t="s">
        <v>23</v>
      </c>
      <c r="B867" s="11" t="s">
        <v>1191</v>
      </c>
      <c r="C867" s="12" t="s">
        <v>1192</v>
      </c>
      <c r="D867" s="59"/>
      <c r="E867" s="39" t="str">
        <f>HYPERLINK("https://www.google.ru/search?q=3027647-001&amp;newwindow=1&amp;tbm=isch","Еще фото")</f>
        <v>Еще фото</v>
      </c>
      <c r="F867" s="13"/>
      <c r="G867" s="11" t="s">
        <v>808</v>
      </c>
      <c r="H867" s="11" t="s">
        <v>593</v>
      </c>
      <c r="I867" s="14" t="s">
        <v>809</v>
      </c>
      <c r="J867" s="14" t="s">
        <v>892</v>
      </c>
      <c r="K867" s="15" t="s">
        <v>578</v>
      </c>
      <c r="L867" s="56" t="s">
        <v>1193</v>
      </c>
      <c r="M867" s="14"/>
      <c r="N867" s="14" t="s">
        <v>410</v>
      </c>
      <c r="O867" s="14"/>
      <c r="P867" s="15" t="s">
        <v>1194</v>
      </c>
      <c r="Q867" s="16">
        <v>14899</v>
      </c>
      <c r="R867" s="17">
        <v>45.63</v>
      </c>
      <c r="S867" s="18">
        <v>9314.9884999999995</v>
      </c>
      <c r="T867" s="19" t="s">
        <v>36</v>
      </c>
      <c r="U867" s="20" t="s">
        <v>944</v>
      </c>
      <c r="V867" s="22">
        <v>40</v>
      </c>
      <c r="W867" s="22">
        <v>1</v>
      </c>
      <c r="X867" s="23"/>
    </row>
    <row r="868" spans="1:24" s="1" customFormat="1" ht="60.95" customHeight="1" x14ac:dyDescent="0.3">
      <c r="A868" s="24" t="s">
        <v>23</v>
      </c>
      <c r="B868" s="24" t="s">
        <v>1191</v>
      </c>
      <c r="C868" s="12" t="s">
        <v>1192</v>
      </c>
      <c r="D868" s="60"/>
      <c r="E868" s="39" t="str">
        <f>HYPERLINK("https://www.google.ru/search?q=3027647-001&amp;newwindow=1&amp;tbm=isch","Еще фото")</f>
        <v>Еще фото</v>
      </c>
      <c r="F868" s="13"/>
      <c r="G868" s="24" t="s">
        <v>808</v>
      </c>
      <c r="H868" s="24" t="s">
        <v>593</v>
      </c>
      <c r="I868" s="24" t="s">
        <v>809</v>
      </c>
      <c r="J868" s="14" t="s">
        <v>892</v>
      </c>
      <c r="K868" s="15" t="s">
        <v>578</v>
      </c>
      <c r="L868" s="58"/>
      <c r="M868" s="14"/>
      <c r="N868" s="14" t="s">
        <v>410</v>
      </c>
      <c r="O868" s="14"/>
      <c r="P868" s="15" t="s">
        <v>1194</v>
      </c>
      <c r="Q868" s="16">
        <v>14899</v>
      </c>
      <c r="R868" s="17">
        <v>45.63</v>
      </c>
      <c r="S868" s="18">
        <v>9314.9884999999995</v>
      </c>
      <c r="T868" s="19" t="s">
        <v>36</v>
      </c>
      <c r="U868" s="20" t="s">
        <v>879</v>
      </c>
      <c r="V868" s="22">
        <v>44</v>
      </c>
      <c r="W868" s="22">
        <v>1</v>
      </c>
      <c r="X868" s="23"/>
    </row>
    <row r="869" spans="1:24" s="1" customFormat="1" ht="108" customHeight="1" x14ac:dyDescent="0.3">
      <c r="A869" s="11" t="s">
        <v>23</v>
      </c>
      <c r="B869" s="11" t="s">
        <v>946</v>
      </c>
      <c r="C869" s="12" t="s">
        <v>1195</v>
      </c>
      <c r="D869" s="25"/>
      <c r="E869" s="39" t="str">
        <f>HYPERLINK("https://www.google.ru/search?q=3027777-102&amp;newwindow=1&amp;tbm=isch","Еще фото")</f>
        <v>Еще фото</v>
      </c>
      <c r="F869" s="13"/>
      <c r="G869" s="11" t="s">
        <v>808</v>
      </c>
      <c r="H869" s="11" t="s">
        <v>593</v>
      </c>
      <c r="I869" s="14" t="s">
        <v>809</v>
      </c>
      <c r="J869" s="14" t="s">
        <v>29</v>
      </c>
      <c r="K869" s="15" t="s">
        <v>64</v>
      </c>
      <c r="L869" s="14" t="s">
        <v>948</v>
      </c>
      <c r="M869" s="14"/>
      <c r="N869" s="14" t="s">
        <v>1185</v>
      </c>
      <c r="O869" s="14"/>
      <c r="P869" s="15" t="s">
        <v>949</v>
      </c>
      <c r="Q869" s="16">
        <v>12499</v>
      </c>
      <c r="R869" s="17">
        <v>45.6</v>
      </c>
      <c r="S869" s="18">
        <v>7819.9884999999995</v>
      </c>
      <c r="T869" s="19" t="s">
        <v>36</v>
      </c>
      <c r="U869" s="20" t="s">
        <v>814</v>
      </c>
      <c r="V869" s="28">
        <v>36.5</v>
      </c>
      <c r="W869" s="22">
        <v>2</v>
      </c>
      <c r="X869" s="23"/>
    </row>
    <row r="870" spans="1:24" s="1" customFormat="1" ht="51.95" customHeight="1" x14ac:dyDescent="0.3">
      <c r="A870" s="11" t="s">
        <v>23</v>
      </c>
      <c r="B870" s="11" t="s">
        <v>1196</v>
      </c>
      <c r="C870" s="12" t="s">
        <v>1197</v>
      </c>
      <c r="D870" s="59"/>
      <c r="E870" s="39" t="str">
        <f>HYPERLINK("https://www.google.ru/search?q=3026136-401&amp;newwindow=1&amp;tbm=isch","Еще фото")</f>
        <v>Еще фото</v>
      </c>
      <c r="F870" s="13"/>
      <c r="G870" s="11" t="s">
        <v>808</v>
      </c>
      <c r="H870" s="11" t="s">
        <v>593</v>
      </c>
      <c r="I870" s="14" t="s">
        <v>809</v>
      </c>
      <c r="J870" s="14" t="s">
        <v>840</v>
      </c>
      <c r="K870" s="15" t="s">
        <v>30</v>
      </c>
      <c r="L870" s="56" t="s">
        <v>1106</v>
      </c>
      <c r="M870" s="14" t="s">
        <v>959</v>
      </c>
      <c r="N870" s="14" t="s">
        <v>1198</v>
      </c>
      <c r="O870" s="14"/>
      <c r="P870" s="15" t="s">
        <v>1199</v>
      </c>
      <c r="Q870" s="16">
        <v>15799</v>
      </c>
      <c r="R870" s="17">
        <v>45.57</v>
      </c>
      <c r="S870" s="18">
        <v>9889.9884999999995</v>
      </c>
      <c r="T870" s="19" t="s">
        <v>36</v>
      </c>
      <c r="U870" s="20" t="s">
        <v>599</v>
      </c>
      <c r="V870" s="28">
        <v>39.5</v>
      </c>
      <c r="W870" s="22">
        <v>1</v>
      </c>
      <c r="X870" s="23"/>
    </row>
    <row r="871" spans="1:24" s="1" customFormat="1" ht="60.95" customHeight="1" x14ac:dyDescent="0.3">
      <c r="A871" s="24" t="s">
        <v>23</v>
      </c>
      <c r="B871" s="24" t="s">
        <v>1196</v>
      </c>
      <c r="C871" s="12" t="s">
        <v>1197</v>
      </c>
      <c r="D871" s="60"/>
      <c r="E871" s="39" t="str">
        <f>HYPERLINK("https://www.google.ru/search?q=3026136-401&amp;newwindow=1&amp;tbm=isch","Еще фото")</f>
        <v>Еще фото</v>
      </c>
      <c r="F871" s="13"/>
      <c r="G871" s="24" t="s">
        <v>808</v>
      </c>
      <c r="H871" s="24" t="s">
        <v>593</v>
      </c>
      <c r="I871" s="24" t="s">
        <v>809</v>
      </c>
      <c r="J871" s="14" t="s">
        <v>840</v>
      </c>
      <c r="K871" s="15" t="s">
        <v>30</v>
      </c>
      <c r="L871" s="58"/>
      <c r="M871" s="14" t="s">
        <v>959</v>
      </c>
      <c r="N871" s="14" t="s">
        <v>1198</v>
      </c>
      <c r="O871" s="14"/>
      <c r="P871" s="15" t="s">
        <v>1199</v>
      </c>
      <c r="Q871" s="16">
        <v>15799</v>
      </c>
      <c r="R871" s="17">
        <v>45.57</v>
      </c>
      <c r="S871" s="18">
        <v>9889.9884999999995</v>
      </c>
      <c r="T871" s="19" t="s">
        <v>36</v>
      </c>
      <c r="U871" s="20" t="s">
        <v>601</v>
      </c>
      <c r="V871" s="22">
        <v>41</v>
      </c>
      <c r="W871" s="22">
        <v>1</v>
      </c>
      <c r="X871" s="23"/>
    </row>
    <row r="872" spans="1:24" s="1" customFormat="1" ht="108" customHeight="1" x14ac:dyDescent="0.3">
      <c r="A872" s="11" t="s">
        <v>23</v>
      </c>
      <c r="B872" s="11" t="s">
        <v>1200</v>
      </c>
      <c r="C872" s="12" t="s">
        <v>1201</v>
      </c>
      <c r="D872" s="25"/>
      <c r="E872" s="39" t="str">
        <f>HYPERLINK("https://www.google.ru/search?q=3027000-289&amp;newwindow=1&amp;tbm=isch","Еще фото")</f>
        <v>Еще фото</v>
      </c>
      <c r="F872" s="13"/>
      <c r="G872" s="11" t="s">
        <v>808</v>
      </c>
      <c r="H872" s="11" t="s">
        <v>593</v>
      </c>
      <c r="I872" s="14" t="s">
        <v>809</v>
      </c>
      <c r="J872" s="14" t="s">
        <v>29</v>
      </c>
      <c r="K872" s="15" t="s">
        <v>30</v>
      </c>
      <c r="L872" s="14" t="s">
        <v>1202</v>
      </c>
      <c r="M872" s="14"/>
      <c r="N872" s="14" t="s">
        <v>215</v>
      </c>
      <c r="O872" s="14"/>
      <c r="P872" s="15" t="s">
        <v>919</v>
      </c>
      <c r="Q872" s="16">
        <v>7899</v>
      </c>
      <c r="R872" s="17">
        <v>45.56</v>
      </c>
      <c r="S872" s="18">
        <v>4944.9884999999995</v>
      </c>
      <c r="T872" s="19" t="s">
        <v>36</v>
      </c>
      <c r="U872" s="20" t="s">
        <v>606</v>
      </c>
      <c r="V872" s="22">
        <v>44</v>
      </c>
      <c r="W872" s="22">
        <v>1</v>
      </c>
      <c r="X872" s="23"/>
    </row>
    <row r="873" spans="1:24" s="1" customFormat="1" ht="108" customHeight="1" x14ac:dyDescent="0.3">
      <c r="A873" s="11" t="s">
        <v>23</v>
      </c>
      <c r="B873" s="11" t="s">
        <v>1200</v>
      </c>
      <c r="C873" s="12" t="s">
        <v>1203</v>
      </c>
      <c r="D873" s="25"/>
      <c r="E873" s="39" t="str">
        <f>HYPERLINK("https://www.google.ru/search?q=3027000-410&amp;newwindow=1&amp;tbm=isch","Еще фото")</f>
        <v>Еще фото</v>
      </c>
      <c r="F873" s="13" t="s">
        <v>98</v>
      </c>
      <c r="G873" s="11" t="s">
        <v>808</v>
      </c>
      <c r="H873" s="11" t="s">
        <v>593</v>
      </c>
      <c r="I873" s="14" t="s">
        <v>809</v>
      </c>
      <c r="J873" s="14" t="s">
        <v>29</v>
      </c>
      <c r="K873" s="15" t="s">
        <v>30</v>
      </c>
      <c r="L873" s="14"/>
      <c r="M873" s="14"/>
      <c r="N873" s="14" t="s">
        <v>91</v>
      </c>
      <c r="O873" s="14"/>
      <c r="P873" s="15" t="s">
        <v>1204</v>
      </c>
      <c r="Q873" s="16">
        <v>7899</v>
      </c>
      <c r="R873" s="17">
        <v>45.56</v>
      </c>
      <c r="S873" s="18">
        <v>4944.9884999999995</v>
      </c>
      <c r="T873" s="19" t="s">
        <v>36</v>
      </c>
      <c r="U873" s="20" t="s">
        <v>603</v>
      </c>
      <c r="V873" s="22">
        <v>42</v>
      </c>
      <c r="W873" s="22">
        <v>2</v>
      </c>
      <c r="X873" s="23"/>
    </row>
    <row r="874" spans="1:24" s="1" customFormat="1" ht="108" customHeight="1" x14ac:dyDescent="0.3">
      <c r="A874" s="11" t="s">
        <v>23</v>
      </c>
      <c r="B874" s="11" t="s">
        <v>1205</v>
      </c>
      <c r="C874" s="12" t="s">
        <v>1206</v>
      </c>
      <c r="D874" s="25"/>
      <c r="E874" s="39" t="str">
        <f>HYPERLINK("https://www.google.ru/search?q=3024907-001&amp;newwindow=1&amp;tbm=isch","Еще фото")</f>
        <v>Еще фото</v>
      </c>
      <c r="F874" s="13"/>
      <c r="G874" s="11" t="s">
        <v>808</v>
      </c>
      <c r="H874" s="11" t="s">
        <v>593</v>
      </c>
      <c r="I874" s="14" t="s">
        <v>809</v>
      </c>
      <c r="J874" s="14" t="s">
        <v>29</v>
      </c>
      <c r="K874" s="15" t="s">
        <v>64</v>
      </c>
      <c r="L874" s="14" t="s">
        <v>1207</v>
      </c>
      <c r="M874" s="14" t="s">
        <v>824</v>
      </c>
      <c r="N874" s="14" t="s">
        <v>33</v>
      </c>
      <c r="O874" s="14"/>
      <c r="P874" s="15" t="s">
        <v>1208</v>
      </c>
      <c r="Q874" s="16">
        <v>17999</v>
      </c>
      <c r="R874" s="17">
        <v>45.55</v>
      </c>
      <c r="S874" s="18">
        <v>11269.988499999999</v>
      </c>
      <c r="T874" s="19" t="s">
        <v>36</v>
      </c>
      <c r="U874" s="20" t="s">
        <v>820</v>
      </c>
      <c r="V874" s="22">
        <v>36</v>
      </c>
      <c r="W874" s="22">
        <v>1</v>
      </c>
      <c r="X874" s="23"/>
    </row>
    <row r="875" spans="1:24" s="1" customFormat="1" ht="108" customHeight="1" x14ac:dyDescent="0.3">
      <c r="A875" s="11" t="s">
        <v>23</v>
      </c>
      <c r="B875" s="11" t="s">
        <v>1209</v>
      </c>
      <c r="C875" s="12" t="s">
        <v>1210</v>
      </c>
      <c r="D875" s="25"/>
      <c r="E875" s="39" t="str">
        <f>HYPERLINK("https://www.google.ru/search?q=3026021-001&amp;newwindow=1&amp;tbm=isch","Еще фото")</f>
        <v>Еще фото</v>
      </c>
      <c r="F875" s="13"/>
      <c r="G875" s="11" t="s">
        <v>808</v>
      </c>
      <c r="H875" s="11" t="s">
        <v>593</v>
      </c>
      <c r="I875" s="14" t="s">
        <v>809</v>
      </c>
      <c r="J875" s="14" t="s">
        <v>29</v>
      </c>
      <c r="K875" s="15" t="s">
        <v>30</v>
      </c>
      <c r="L875" s="14" t="s">
        <v>1211</v>
      </c>
      <c r="M875" s="14" t="s">
        <v>1164</v>
      </c>
      <c r="N875" s="14" t="s">
        <v>33</v>
      </c>
      <c r="O875" s="14"/>
      <c r="P875" s="15" t="s">
        <v>1212</v>
      </c>
      <c r="Q875" s="16">
        <v>17999</v>
      </c>
      <c r="R875" s="17">
        <v>45.55</v>
      </c>
      <c r="S875" s="18">
        <v>11269.988499999999</v>
      </c>
      <c r="T875" s="19" t="s">
        <v>36</v>
      </c>
      <c r="U875" s="20" t="s">
        <v>602</v>
      </c>
      <c r="V875" s="28">
        <v>41.5</v>
      </c>
      <c r="W875" s="22">
        <v>1</v>
      </c>
      <c r="X875" s="23"/>
    </row>
    <row r="876" spans="1:24" s="1" customFormat="1" ht="108" customHeight="1" x14ac:dyDescent="0.3">
      <c r="A876" s="11" t="s">
        <v>23</v>
      </c>
      <c r="B876" s="11" t="s">
        <v>1213</v>
      </c>
      <c r="C876" s="12" t="s">
        <v>1214</v>
      </c>
      <c r="D876" s="25"/>
      <c r="E876" s="39" t="str">
        <f>HYPERLINK("https://www.google.ru/search?q=3027200-001&amp;newwindow=1&amp;tbm=isch","Еще фото")</f>
        <v>Еще фото</v>
      </c>
      <c r="F876" s="13"/>
      <c r="G876" s="11" t="s">
        <v>808</v>
      </c>
      <c r="H876" s="11" t="s">
        <v>593</v>
      </c>
      <c r="I876" s="14" t="s">
        <v>809</v>
      </c>
      <c r="J876" s="14" t="s">
        <v>29</v>
      </c>
      <c r="K876" s="15" t="s">
        <v>64</v>
      </c>
      <c r="L876" s="14" t="s">
        <v>1215</v>
      </c>
      <c r="M876" s="14" t="s">
        <v>824</v>
      </c>
      <c r="N876" s="14" t="s">
        <v>33</v>
      </c>
      <c r="O876" s="14"/>
      <c r="P876" s="15" t="s">
        <v>923</v>
      </c>
      <c r="Q876" s="16">
        <v>17999</v>
      </c>
      <c r="R876" s="17">
        <v>45.55</v>
      </c>
      <c r="S876" s="18">
        <v>11269.988499999999</v>
      </c>
      <c r="T876" s="19" t="s">
        <v>36</v>
      </c>
      <c r="U876" s="20" t="s">
        <v>820</v>
      </c>
      <c r="V876" s="22">
        <v>36</v>
      </c>
      <c r="W876" s="22">
        <v>3</v>
      </c>
      <c r="X876" s="23"/>
    </row>
    <row r="877" spans="1:24" s="1" customFormat="1" ht="108" customHeight="1" x14ac:dyDescent="0.3">
      <c r="A877" s="11" t="s">
        <v>23</v>
      </c>
      <c r="B877" s="11" t="s">
        <v>1216</v>
      </c>
      <c r="C877" s="12" t="s">
        <v>1217</v>
      </c>
      <c r="D877" s="25"/>
      <c r="E877" s="39" t="str">
        <f>HYPERLINK("https://www.google.ru/search?q=3026175-011&amp;newwindow=1&amp;tbm=isch","Еще фото")</f>
        <v>Еще фото</v>
      </c>
      <c r="F877" s="13"/>
      <c r="G877" s="11" t="s">
        <v>808</v>
      </c>
      <c r="H877" s="11" t="s">
        <v>593</v>
      </c>
      <c r="I877" s="14" t="s">
        <v>809</v>
      </c>
      <c r="J877" s="14" t="s">
        <v>29</v>
      </c>
      <c r="K877" s="15" t="s">
        <v>30</v>
      </c>
      <c r="L877" s="14" t="s">
        <v>1218</v>
      </c>
      <c r="M877" s="14"/>
      <c r="N877" s="14" t="s">
        <v>84</v>
      </c>
      <c r="O877" s="14"/>
      <c r="P877" s="15" t="s">
        <v>1219</v>
      </c>
      <c r="Q877" s="16">
        <v>8999</v>
      </c>
      <c r="R877" s="17">
        <v>45.55</v>
      </c>
      <c r="S877" s="18">
        <v>5634.9884999999995</v>
      </c>
      <c r="T877" s="19" t="s">
        <v>36</v>
      </c>
      <c r="U877" s="20" t="s">
        <v>602</v>
      </c>
      <c r="V877" s="28">
        <v>41.5</v>
      </c>
      <c r="W877" s="22">
        <v>1</v>
      </c>
      <c r="X877" s="23"/>
    </row>
    <row r="878" spans="1:24" s="1" customFormat="1" ht="108" customHeight="1" x14ac:dyDescent="0.3">
      <c r="A878" s="11" t="s">
        <v>23</v>
      </c>
      <c r="B878" s="11" t="s">
        <v>1220</v>
      </c>
      <c r="C878" s="12" t="s">
        <v>1221</v>
      </c>
      <c r="D878" s="25"/>
      <c r="E878" s="39" t="str">
        <f>HYPERLINK("https://www.google.ru/search?q=3028256-403&amp;newwindow=1&amp;tbm=isch","Еще фото")</f>
        <v>Еще фото</v>
      </c>
      <c r="F878" s="13" t="s">
        <v>98</v>
      </c>
      <c r="G878" s="11" t="s">
        <v>808</v>
      </c>
      <c r="H878" s="11" t="s">
        <v>593</v>
      </c>
      <c r="I878" s="14" t="s">
        <v>809</v>
      </c>
      <c r="J878" s="14" t="s">
        <v>29</v>
      </c>
      <c r="K878" s="15" t="s">
        <v>30</v>
      </c>
      <c r="L878" s="14" t="s">
        <v>1222</v>
      </c>
      <c r="M878" s="14"/>
      <c r="N878" s="14" t="s">
        <v>91</v>
      </c>
      <c r="O878" s="14"/>
      <c r="P878" s="15" t="s">
        <v>597</v>
      </c>
      <c r="Q878" s="16">
        <v>11199</v>
      </c>
      <c r="R878" s="17">
        <v>45.53</v>
      </c>
      <c r="S878" s="18">
        <v>7014.9884999999995</v>
      </c>
      <c r="T878" s="19" t="s">
        <v>36</v>
      </c>
      <c r="U878" s="20" t="s">
        <v>606</v>
      </c>
      <c r="V878" s="22">
        <v>44</v>
      </c>
      <c r="W878" s="22">
        <v>1</v>
      </c>
      <c r="X878" s="23"/>
    </row>
    <row r="879" spans="1:24" s="1" customFormat="1" ht="108" customHeight="1" x14ac:dyDescent="0.3">
      <c r="A879" s="11" t="s">
        <v>23</v>
      </c>
      <c r="B879" s="11" t="s">
        <v>1223</v>
      </c>
      <c r="C879" s="12" t="s">
        <v>1224</v>
      </c>
      <c r="D879" s="25"/>
      <c r="E879" s="39" t="str">
        <f>HYPERLINK("https://www.google.ru/search?q=6006717-410&amp;newwindow=1&amp;tbm=isch","Еще фото")</f>
        <v>Еще фото</v>
      </c>
      <c r="F879" s="13" t="s">
        <v>98</v>
      </c>
      <c r="G879" s="11" t="s">
        <v>808</v>
      </c>
      <c r="H879" s="11" t="s">
        <v>593</v>
      </c>
      <c r="I879" s="14" t="s">
        <v>809</v>
      </c>
      <c r="J879" s="14" t="s">
        <v>29</v>
      </c>
      <c r="K879" s="15" t="s">
        <v>30</v>
      </c>
      <c r="L879" s="14" t="s">
        <v>1225</v>
      </c>
      <c r="M879" s="14"/>
      <c r="N879" s="14" t="s">
        <v>91</v>
      </c>
      <c r="O879" s="14"/>
      <c r="P879" s="15" t="s">
        <v>870</v>
      </c>
      <c r="Q879" s="16">
        <v>12299</v>
      </c>
      <c r="R879" s="17">
        <v>45.52</v>
      </c>
      <c r="S879" s="18">
        <v>7704.9884999999995</v>
      </c>
      <c r="T879" s="19" t="s">
        <v>36</v>
      </c>
      <c r="U879" s="20" t="s">
        <v>601</v>
      </c>
      <c r="V879" s="22">
        <v>41</v>
      </c>
      <c r="W879" s="22">
        <v>1</v>
      </c>
      <c r="X879" s="23"/>
    </row>
    <row r="880" spans="1:24" s="1" customFormat="1" ht="108" customHeight="1" x14ac:dyDescent="0.3">
      <c r="A880" s="11" t="s">
        <v>23</v>
      </c>
      <c r="B880" s="11" t="s">
        <v>1226</v>
      </c>
      <c r="C880" s="12" t="s">
        <v>1227</v>
      </c>
      <c r="D880" s="25"/>
      <c r="E880" s="39" t="str">
        <f>HYPERLINK("https://www.google.ru/search?q=3026641-113&amp;newwindow=1&amp;tbm=isch","Еще фото")</f>
        <v>Еще фото</v>
      </c>
      <c r="F880" s="13"/>
      <c r="G880" s="11" t="s">
        <v>808</v>
      </c>
      <c r="H880" s="11" t="s">
        <v>593</v>
      </c>
      <c r="I880" s="14" t="s">
        <v>809</v>
      </c>
      <c r="J880" s="14" t="s">
        <v>892</v>
      </c>
      <c r="K880" s="15" t="s">
        <v>64</v>
      </c>
      <c r="L880" s="14" t="s">
        <v>1228</v>
      </c>
      <c r="M880" s="14" t="s">
        <v>888</v>
      </c>
      <c r="N880" s="14" t="s">
        <v>1229</v>
      </c>
      <c r="O880" s="14"/>
      <c r="P880" s="15" t="s">
        <v>1230</v>
      </c>
      <c r="Q880" s="16">
        <v>14499</v>
      </c>
      <c r="R880" s="17">
        <v>45.51</v>
      </c>
      <c r="S880" s="18">
        <v>9084.9884999999995</v>
      </c>
      <c r="T880" s="19" t="s">
        <v>36</v>
      </c>
      <c r="U880" s="20" t="s">
        <v>813</v>
      </c>
      <c r="V880" s="28">
        <v>35.5</v>
      </c>
      <c r="W880" s="22">
        <v>2</v>
      </c>
      <c r="X880" s="23"/>
    </row>
    <row r="881" spans="1:24" s="1" customFormat="1" ht="108" customHeight="1" x14ac:dyDescent="0.3">
      <c r="A881" s="11" t="s">
        <v>23</v>
      </c>
      <c r="B881" s="11" t="s">
        <v>821</v>
      </c>
      <c r="C881" s="12" t="s">
        <v>1231</v>
      </c>
      <c r="D881" s="25"/>
      <c r="E881" s="39" t="str">
        <f>HYPERLINK("https://www.google.ru/search?q=3026128-103&amp;newwindow=1&amp;tbm=isch","Еще фото")</f>
        <v>Еще фото</v>
      </c>
      <c r="F881" s="13"/>
      <c r="G881" s="11" t="s">
        <v>808</v>
      </c>
      <c r="H881" s="11" t="s">
        <v>593</v>
      </c>
      <c r="I881" s="14" t="s">
        <v>809</v>
      </c>
      <c r="J881" s="14" t="s">
        <v>29</v>
      </c>
      <c r="K881" s="15" t="s">
        <v>64</v>
      </c>
      <c r="L881" s="14" t="s">
        <v>823</v>
      </c>
      <c r="M881" s="14" t="s">
        <v>824</v>
      </c>
      <c r="N881" s="14" t="s">
        <v>74</v>
      </c>
      <c r="O881" s="14"/>
      <c r="P881" s="15" t="s">
        <v>825</v>
      </c>
      <c r="Q881" s="16">
        <v>15599</v>
      </c>
      <c r="R881" s="17">
        <v>45.51</v>
      </c>
      <c r="S881" s="18">
        <v>9774.9884999999995</v>
      </c>
      <c r="T881" s="19" t="s">
        <v>36</v>
      </c>
      <c r="U881" s="20" t="s">
        <v>814</v>
      </c>
      <c r="V881" s="28">
        <v>36.5</v>
      </c>
      <c r="W881" s="22">
        <v>1</v>
      </c>
      <c r="X881" s="23"/>
    </row>
    <row r="882" spans="1:24" s="1" customFormat="1" ht="108" customHeight="1" x14ac:dyDescent="0.3">
      <c r="A882" s="11" t="s">
        <v>23</v>
      </c>
      <c r="B882" s="11" t="s">
        <v>1232</v>
      </c>
      <c r="C882" s="12" t="s">
        <v>1233</v>
      </c>
      <c r="D882" s="25"/>
      <c r="E882" s="39" t="str">
        <f>HYPERLINK("https://www.google.ru/search?q=3028002-100&amp;newwindow=1&amp;tbm=isch","Еще фото")</f>
        <v>Еще фото</v>
      </c>
      <c r="F882" s="13"/>
      <c r="G882" s="11" t="s">
        <v>808</v>
      </c>
      <c r="H882" s="11" t="s">
        <v>593</v>
      </c>
      <c r="I882" s="14" t="s">
        <v>809</v>
      </c>
      <c r="J882" s="14" t="s">
        <v>29</v>
      </c>
      <c r="K882" s="15" t="s">
        <v>30</v>
      </c>
      <c r="L882" s="14" t="s">
        <v>1234</v>
      </c>
      <c r="M882" s="14" t="s">
        <v>824</v>
      </c>
      <c r="N882" s="14" t="s">
        <v>74</v>
      </c>
      <c r="O882" s="14"/>
      <c r="P882" s="15" t="s">
        <v>597</v>
      </c>
      <c r="Q882" s="16">
        <v>15599</v>
      </c>
      <c r="R882" s="17">
        <v>45.51</v>
      </c>
      <c r="S882" s="18">
        <v>9774.9884999999995</v>
      </c>
      <c r="T882" s="19" t="s">
        <v>36</v>
      </c>
      <c r="U882" s="20" t="s">
        <v>601</v>
      </c>
      <c r="V882" s="22">
        <v>41</v>
      </c>
      <c r="W882" s="22">
        <v>2</v>
      </c>
      <c r="X882" s="23"/>
    </row>
    <row r="883" spans="1:24" s="1" customFormat="1" ht="51.95" customHeight="1" x14ac:dyDescent="0.3">
      <c r="A883" s="11" t="s">
        <v>23</v>
      </c>
      <c r="B883" s="11" t="s">
        <v>1235</v>
      </c>
      <c r="C883" s="12" t="s">
        <v>1236</v>
      </c>
      <c r="D883" s="59"/>
      <c r="E883" s="39" t="str">
        <f>HYPERLINK("https://www.google.ru/search?q=3026548-001&amp;newwindow=1&amp;tbm=isch","Еще фото")</f>
        <v>Еще фото</v>
      </c>
      <c r="F883" s="13"/>
      <c r="G883" s="11" t="s">
        <v>808</v>
      </c>
      <c r="H883" s="11" t="s">
        <v>593</v>
      </c>
      <c r="I883" s="14" t="s">
        <v>809</v>
      </c>
      <c r="J883" s="14" t="s">
        <v>29</v>
      </c>
      <c r="K883" s="15" t="s">
        <v>30</v>
      </c>
      <c r="L883" s="56" t="s">
        <v>1237</v>
      </c>
      <c r="M883" s="14" t="s">
        <v>836</v>
      </c>
      <c r="N883" s="14" t="s">
        <v>1238</v>
      </c>
      <c r="O883" s="14"/>
      <c r="P883" s="15" t="s">
        <v>1239</v>
      </c>
      <c r="Q883" s="16">
        <v>19999</v>
      </c>
      <c r="R883" s="17">
        <v>45.5</v>
      </c>
      <c r="S883" s="18">
        <v>12534.988499999999</v>
      </c>
      <c r="T883" s="19" t="s">
        <v>36</v>
      </c>
      <c r="U883" s="20" t="s">
        <v>600</v>
      </c>
      <c r="V883" s="22">
        <v>40</v>
      </c>
      <c r="W883" s="22">
        <v>2</v>
      </c>
      <c r="X883" s="23"/>
    </row>
    <row r="884" spans="1:24" s="1" customFormat="1" ht="60.95" customHeight="1" x14ac:dyDescent="0.3">
      <c r="A884" s="24" t="s">
        <v>23</v>
      </c>
      <c r="B884" s="24" t="s">
        <v>1235</v>
      </c>
      <c r="C884" s="12" t="s">
        <v>1236</v>
      </c>
      <c r="D884" s="60"/>
      <c r="E884" s="39" t="str">
        <f>HYPERLINK("https://www.google.ru/search?q=3026548-001&amp;newwindow=1&amp;tbm=isch","Еще фото")</f>
        <v>Еще фото</v>
      </c>
      <c r="F884" s="13"/>
      <c r="G884" s="24" t="s">
        <v>808</v>
      </c>
      <c r="H884" s="24" t="s">
        <v>593</v>
      </c>
      <c r="I884" s="24" t="s">
        <v>809</v>
      </c>
      <c r="J884" s="14" t="s">
        <v>29</v>
      </c>
      <c r="K884" s="15" t="s">
        <v>30</v>
      </c>
      <c r="L884" s="58"/>
      <c r="M884" s="14" t="s">
        <v>836</v>
      </c>
      <c r="N884" s="14" t="s">
        <v>1238</v>
      </c>
      <c r="O884" s="14"/>
      <c r="P884" s="15" t="s">
        <v>1239</v>
      </c>
      <c r="Q884" s="16">
        <v>19999</v>
      </c>
      <c r="R884" s="17">
        <v>45.5</v>
      </c>
      <c r="S884" s="18">
        <v>12534.988499999999</v>
      </c>
      <c r="T884" s="19" t="s">
        <v>36</v>
      </c>
      <c r="U884" s="20" t="s">
        <v>602</v>
      </c>
      <c r="V884" s="28">
        <v>41.5</v>
      </c>
      <c r="W884" s="22">
        <v>1</v>
      </c>
      <c r="X884" s="23"/>
    </row>
    <row r="885" spans="1:24" s="1" customFormat="1" ht="51.95" customHeight="1" x14ac:dyDescent="0.3">
      <c r="A885" s="11" t="s">
        <v>23</v>
      </c>
      <c r="B885" s="11" t="s">
        <v>939</v>
      </c>
      <c r="C885" s="12" t="s">
        <v>1240</v>
      </c>
      <c r="D885" s="59"/>
      <c r="E885" s="39" t="str">
        <f>HYPERLINK("https://www.google.ru/search?q=3027212-001&amp;newwindow=1&amp;tbm=isch","Еще фото")</f>
        <v>Еще фото</v>
      </c>
      <c r="F885" s="13"/>
      <c r="G885" s="11" t="s">
        <v>808</v>
      </c>
      <c r="H885" s="11" t="s">
        <v>593</v>
      </c>
      <c r="I885" s="14" t="s">
        <v>809</v>
      </c>
      <c r="J885" s="14" t="s">
        <v>840</v>
      </c>
      <c r="K885" s="15" t="s">
        <v>578</v>
      </c>
      <c r="L885" s="56" t="s">
        <v>941</v>
      </c>
      <c r="M885" s="14" t="s">
        <v>824</v>
      </c>
      <c r="N885" s="14" t="s">
        <v>410</v>
      </c>
      <c r="O885" s="14"/>
      <c r="P885" s="15" t="s">
        <v>1241</v>
      </c>
      <c r="Q885" s="16">
        <v>19999</v>
      </c>
      <c r="R885" s="17">
        <v>45.5</v>
      </c>
      <c r="S885" s="18">
        <v>12534.988499999999</v>
      </c>
      <c r="T885" s="19" t="s">
        <v>36</v>
      </c>
      <c r="U885" s="20" t="s">
        <v>944</v>
      </c>
      <c r="V885" s="22">
        <v>40</v>
      </c>
      <c r="W885" s="22">
        <v>1</v>
      </c>
      <c r="X885" s="23"/>
    </row>
    <row r="886" spans="1:24" s="1" customFormat="1" ht="60.95" customHeight="1" x14ac:dyDescent="0.3">
      <c r="A886" s="24" t="s">
        <v>23</v>
      </c>
      <c r="B886" s="24" t="s">
        <v>939</v>
      </c>
      <c r="C886" s="12" t="s">
        <v>1240</v>
      </c>
      <c r="D886" s="60"/>
      <c r="E886" s="39" t="str">
        <f>HYPERLINK("https://www.google.ru/search?q=3027212-001&amp;newwindow=1&amp;tbm=isch","Еще фото")</f>
        <v>Еще фото</v>
      </c>
      <c r="F886" s="13"/>
      <c r="G886" s="24" t="s">
        <v>808</v>
      </c>
      <c r="H886" s="24" t="s">
        <v>593</v>
      </c>
      <c r="I886" s="24" t="s">
        <v>809</v>
      </c>
      <c r="J886" s="14" t="s">
        <v>840</v>
      </c>
      <c r="K886" s="15" t="s">
        <v>578</v>
      </c>
      <c r="L886" s="58"/>
      <c r="M886" s="14" t="s">
        <v>824</v>
      </c>
      <c r="N886" s="14" t="s">
        <v>410</v>
      </c>
      <c r="O886" s="14"/>
      <c r="P886" s="15" t="s">
        <v>1241</v>
      </c>
      <c r="Q886" s="16">
        <v>19999</v>
      </c>
      <c r="R886" s="17">
        <v>45.5</v>
      </c>
      <c r="S886" s="18">
        <v>12534.988499999999</v>
      </c>
      <c r="T886" s="19" t="s">
        <v>36</v>
      </c>
      <c r="U886" s="20" t="s">
        <v>945</v>
      </c>
      <c r="V886" s="22">
        <v>41</v>
      </c>
      <c r="W886" s="22">
        <v>1</v>
      </c>
      <c r="X886" s="23"/>
    </row>
    <row r="887" spans="1:24" s="1" customFormat="1" ht="108" customHeight="1" x14ac:dyDescent="0.3">
      <c r="A887" s="11" t="s">
        <v>23</v>
      </c>
      <c r="B887" s="11" t="s">
        <v>1242</v>
      </c>
      <c r="C887" s="12" t="s">
        <v>1243</v>
      </c>
      <c r="D887" s="25"/>
      <c r="E887" s="39" t="str">
        <f>HYPERLINK("https://www.google.ru/search?q=3026231-100&amp;newwindow=1&amp;tbm=isch","Еще фото")</f>
        <v>Еще фото</v>
      </c>
      <c r="F887" s="13"/>
      <c r="G887" s="11" t="s">
        <v>808</v>
      </c>
      <c r="H887" s="11" t="s">
        <v>593</v>
      </c>
      <c r="I887" s="14" t="s">
        <v>809</v>
      </c>
      <c r="J887" s="14" t="s">
        <v>29</v>
      </c>
      <c r="K887" s="15" t="s">
        <v>30</v>
      </c>
      <c r="L887" s="14" t="s">
        <v>1244</v>
      </c>
      <c r="M887" s="14" t="s">
        <v>824</v>
      </c>
      <c r="N887" s="14" t="s">
        <v>1245</v>
      </c>
      <c r="O887" s="14"/>
      <c r="P887" s="15" t="s">
        <v>1246</v>
      </c>
      <c r="Q887" s="16">
        <v>21999</v>
      </c>
      <c r="R887" s="17">
        <v>45.45</v>
      </c>
      <c r="S887" s="18">
        <v>13799.988499999999</v>
      </c>
      <c r="T887" s="19" t="s">
        <v>36</v>
      </c>
      <c r="U887" s="20" t="s">
        <v>607</v>
      </c>
      <c r="V887" s="28">
        <v>44.5</v>
      </c>
      <c r="W887" s="22">
        <v>1</v>
      </c>
      <c r="X887" s="23"/>
    </row>
    <row r="888" spans="1:24" s="1" customFormat="1" ht="108" customHeight="1" x14ac:dyDescent="0.3">
      <c r="A888" s="11" t="s">
        <v>23</v>
      </c>
      <c r="B888" s="11" t="s">
        <v>1247</v>
      </c>
      <c r="C888" s="12" t="s">
        <v>1248</v>
      </c>
      <c r="D888" s="25"/>
      <c r="E888" s="39" t="str">
        <f>HYPERLINK("https://www.google.ru/search?q=3026582-402&amp;newwindow=1&amp;tbm=isch","Еще фото")</f>
        <v>Еще фото</v>
      </c>
      <c r="F888" s="13"/>
      <c r="G888" s="11" t="s">
        <v>808</v>
      </c>
      <c r="H888" s="11" t="s">
        <v>593</v>
      </c>
      <c r="I888" s="14" t="s">
        <v>809</v>
      </c>
      <c r="J888" s="14" t="s">
        <v>29</v>
      </c>
      <c r="K888" s="15" t="s">
        <v>30</v>
      </c>
      <c r="L888" s="14" t="s">
        <v>1012</v>
      </c>
      <c r="M888" s="14" t="s">
        <v>824</v>
      </c>
      <c r="N888" s="14" t="s">
        <v>91</v>
      </c>
      <c r="O888" s="14"/>
      <c r="P888" s="15" t="s">
        <v>1014</v>
      </c>
      <c r="Q888" s="16">
        <v>21999</v>
      </c>
      <c r="R888" s="17">
        <v>45.45</v>
      </c>
      <c r="S888" s="18">
        <v>13799.988499999999</v>
      </c>
      <c r="T888" s="19" t="s">
        <v>36</v>
      </c>
      <c r="U888" s="20" t="s">
        <v>605</v>
      </c>
      <c r="V888" s="28">
        <v>43.5</v>
      </c>
      <c r="W888" s="22">
        <v>1</v>
      </c>
      <c r="X888" s="23"/>
    </row>
    <row r="889" spans="1:24" s="1" customFormat="1" ht="51.95" customHeight="1" x14ac:dyDescent="0.3">
      <c r="A889" s="11" t="s">
        <v>23</v>
      </c>
      <c r="B889" s="11" t="s">
        <v>1249</v>
      </c>
      <c r="C889" s="12" t="s">
        <v>1250</v>
      </c>
      <c r="D889" s="59"/>
      <c r="E889" s="39" t="str">
        <f>HYPERLINK("https://www.google.ru/search?q=3027189-001&amp;newwindow=1&amp;tbm=isch","Еще фото")</f>
        <v>Еще фото</v>
      </c>
      <c r="F889" s="13"/>
      <c r="G889" s="11" t="s">
        <v>808</v>
      </c>
      <c r="H889" s="11" t="s">
        <v>593</v>
      </c>
      <c r="I889" s="14" t="s">
        <v>809</v>
      </c>
      <c r="J889" s="14" t="s">
        <v>29</v>
      </c>
      <c r="K889" s="15" t="s">
        <v>30</v>
      </c>
      <c r="L889" s="56" t="s">
        <v>922</v>
      </c>
      <c r="M889" s="14"/>
      <c r="N889" s="14" t="s">
        <v>33</v>
      </c>
      <c r="O889" s="14"/>
      <c r="P889" s="15" t="s">
        <v>923</v>
      </c>
      <c r="Q889" s="16">
        <v>21999</v>
      </c>
      <c r="R889" s="17">
        <v>45.45</v>
      </c>
      <c r="S889" s="18">
        <v>13799.988499999999</v>
      </c>
      <c r="T889" s="19" t="s">
        <v>36</v>
      </c>
      <c r="U889" s="20" t="s">
        <v>598</v>
      </c>
      <c r="V889" s="22">
        <v>39</v>
      </c>
      <c r="W889" s="22">
        <v>1</v>
      </c>
      <c r="X889" s="23"/>
    </row>
    <row r="890" spans="1:24" s="1" customFormat="1" ht="60.95" customHeight="1" x14ac:dyDescent="0.3">
      <c r="A890" s="24" t="s">
        <v>23</v>
      </c>
      <c r="B890" s="24" t="s">
        <v>1249</v>
      </c>
      <c r="C890" s="12" t="s">
        <v>1250</v>
      </c>
      <c r="D890" s="60"/>
      <c r="E890" s="39" t="str">
        <f>HYPERLINK("https://www.google.ru/search?q=3027189-001&amp;newwindow=1&amp;tbm=isch","Еще фото")</f>
        <v>Еще фото</v>
      </c>
      <c r="F890" s="13"/>
      <c r="G890" s="24" t="s">
        <v>808</v>
      </c>
      <c r="H890" s="24" t="s">
        <v>593</v>
      </c>
      <c r="I890" s="24" t="s">
        <v>809</v>
      </c>
      <c r="J890" s="14" t="s">
        <v>29</v>
      </c>
      <c r="K890" s="15" t="s">
        <v>30</v>
      </c>
      <c r="L890" s="58"/>
      <c r="M890" s="14"/>
      <c r="N890" s="14" t="s">
        <v>33</v>
      </c>
      <c r="O890" s="14"/>
      <c r="P890" s="15" t="s">
        <v>923</v>
      </c>
      <c r="Q890" s="16">
        <v>21999</v>
      </c>
      <c r="R890" s="17">
        <v>45.45</v>
      </c>
      <c r="S890" s="18">
        <v>13799.988499999999</v>
      </c>
      <c r="T890" s="19" t="s">
        <v>36</v>
      </c>
      <c r="U890" s="20" t="s">
        <v>599</v>
      </c>
      <c r="V890" s="28">
        <v>39.5</v>
      </c>
      <c r="W890" s="22">
        <v>3</v>
      </c>
      <c r="X890" s="23"/>
    </row>
    <row r="891" spans="1:24" s="1" customFormat="1" ht="108" customHeight="1" x14ac:dyDescent="0.3">
      <c r="A891" s="11" t="s">
        <v>23</v>
      </c>
      <c r="B891" s="11" t="s">
        <v>1251</v>
      </c>
      <c r="C891" s="12" t="s">
        <v>1252</v>
      </c>
      <c r="D891" s="25"/>
      <c r="E891" s="39" t="str">
        <f>HYPERLINK("https://www.google.ru/search?q=3026732-600&amp;newwindow=1&amp;tbm=isch","Еще фото")</f>
        <v>Еще фото</v>
      </c>
      <c r="F891" s="13"/>
      <c r="G891" s="11" t="s">
        <v>808</v>
      </c>
      <c r="H891" s="11" t="s">
        <v>593</v>
      </c>
      <c r="I891" s="14" t="s">
        <v>809</v>
      </c>
      <c r="J891" s="14" t="s">
        <v>29</v>
      </c>
      <c r="K891" s="15" t="s">
        <v>64</v>
      </c>
      <c r="L891" s="14" t="s">
        <v>1253</v>
      </c>
      <c r="M891" s="14" t="s">
        <v>824</v>
      </c>
      <c r="N891" s="14" t="s">
        <v>1254</v>
      </c>
      <c r="O891" s="14"/>
      <c r="P891" s="15" t="s">
        <v>1255</v>
      </c>
      <c r="Q891" s="16">
        <v>20899</v>
      </c>
      <c r="R891" s="17">
        <v>45.45</v>
      </c>
      <c r="S891" s="18">
        <v>13109.988499999999</v>
      </c>
      <c r="T891" s="19" t="s">
        <v>36</v>
      </c>
      <c r="U891" s="20" t="s">
        <v>814</v>
      </c>
      <c r="V891" s="28">
        <v>36.5</v>
      </c>
      <c r="W891" s="22">
        <v>1</v>
      </c>
      <c r="X891" s="23"/>
    </row>
    <row r="892" spans="1:24" s="1" customFormat="1" ht="108" customHeight="1" x14ac:dyDescent="0.3">
      <c r="A892" s="11" t="s">
        <v>23</v>
      </c>
      <c r="B892" s="11" t="s">
        <v>1256</v>
      </c>
      <c r="C892" s="12" t="s">
        <v>1257</v>
      </c>
      <c r="D892" s="25"/>
      <c r="E892" s="39" t="str">
        <f>HYPERLINK("https://www.google.ru/search?q=3025427-100&amp;newwindow=1&amp;tbm=isch","Еще фото")</f>
        <v>Еще фото</v>
      </c>
      <c r="F892" s="13"/>
      <c r="G892" s="11" t="s">
        <v>808</v>
      </c>
      <c r="H892" s="11" t="s">
        <v>593</v>
      </c>
      <c r="I892" s="14" t="s">
        <v>809</v>
      </c>
      <c r="J892" s="14" t="s">
        <v>29</v>
      </c>
      <c r="K892" s="15" t="s">
        <v>64</v>
      </c>
      <c r="L892" s="14" t="s">
        <v>1019</v>
      </c>
      <c r="M892" s="14" t="s">
        <v>811</v>
      </c>
      <c r="N892" s="14" t="s">
        <v>74</v>
      </c>
      <c r="O892" s="14"/>
      <c r="P892" s="15" t="s">
        <v>1258</v>
      </c>
      <c r="Q892" s="16">
        <v>10999</v>
      </c>
      <c r="R892" s="17">
        <v>45.45</v>
      </c>
      <c r="S892" s="18">
        <v>6899.9884999999995</v>
      </c>
      <c r="T892" s="19" t="s">
        <v>36</v>
      </c>
      <c r="U892" s="20" t="s">
        <v>820</v>
      </c>
      <c r="V892" s="22">
        <v>36</v>
      </c>
      <c r="W892" s="22">
        <v>1</v>
      </c>
      <c r="X892" s="23"/>
    </row>
    <row r="893" spans="1:24" s="1" customFormat="1" ht="51.95" customHeight="1" x14ac:dyDescent="0.3">
      <c r="A893" s="11" t="s">
        <v>23</v>
      </c>
      <c r="B893" s="11" t="s">
        <v>1259</v>
      </c>
      <c r="C893" s="12" t="s">
        <v>1260</v>
      </c>
      <c r="D893" s="59"/>
      <c r="E893" s="39" t="str">
        <f>HYPERLINK("https://www.google.ru/search?q=3026523-101&amp;newwindow=1&amp;tbm=isch","Еще фото")</f>
        <v>Еще фото</v>
      </c>
      <c r="F893" s="13"/>
      <c r="G893" s="11" t="s">
        <v>808</v>
      </c>
      <c r="H893" s="11" t="s">
        <v>593</v>
      </c>
      <c r="I893" s="14" t="s">
        <v>809</v>
      </c>
      <c r="J893" s="14" t="s">
        <v>29</v>
      </c>
      <c r="K893" s="15" t="s">
        <v>64</v>
      </c>
      <c r="L893" s="56" t="s">
        <v>1261</v>
      </c>
      <c r="M893" s="14" t="s">
        <v>959</v>
      </c>
      <c r="N893" s="14" t="s">
        <v>1262</v>
      </c>
      <c r="O893" s="14"/>
      <c r="P893" s="15" t="s">
        <v>1263</v>
      </c>
      <c r="Q893" s="16">
        <v>10999</v>
      </c>
      <c r="R893" s="17">
        <v>45.45</v>
      </c>
      <c r="S893" s="18">
        <v>6899.9884999999995</v>
      </c>
      <c r="T893" s="19" t="s">
        <v>36</v>
      </c>
      <c r="U893" s="20" t="s">
        <v>813</v>
      </c>
      <c r="V893" s="28">
        <v>35.5</v>
      </c>
      <c r="W893" s="22">
        <v>1</v>
      </c>
      <c r="X893" s="23"/>
    </row>
    <row r="894" spans="1:24" s="1" customFormat="1" ht="60.95" customHeight="1" x14ac:dyDescent="0.3">
      <c r="A894" s="24" t="s">
        <v>23</v>
      </c>
      <c r="B894" s="24" t="s">
        <v>1259</v>
      </c>
      <c r="C894" s="12" t="s">
        <v>1260</v>
      </c>
      <c r="D894" s="60"/>
      <c r="E894" s="39" t="str">
        <f>HYPERLINK("https://www.google.ru/search?q=3026523-101&amp;newwindow=1&amp;tbm=isch","Еще фото")</f>
        <v>Еще фото</v>
      </c>
      <c r="F894" s="13"/>
      <c r="G894" s="24" t="s">
        <v>808</v>
      </c>
      <c r="H894" s="24" t="s">
        <v>593</v>
      </c>
      <c r="I894" s="24" t="s">
        <v>809</v>
      </c>
      <c r="J894" s="14" t="s">
        <v>29</v>
      </c>
      <c r="K894" s="15" t="s">
        <v>64</v>
      </c>
      <c r="L894" s="58"/>
      <c r="M894" s="14" t="s">
        <v>959</v>
      </c>
      <c r="N894" s="14" t="s">
        <v>1262</v>
      </c>
      <c r="O894" s="14"/>
      <c r="P894" s="15" t="s">
        <v>1263</v>
      </c>
      <c r="Q894" s="16">
        <v>10999</v>
      </c>
      <c r="R894" s="17">
        <v>45.45</v>
      </c>
      <c r="S894" s="18">
        <v>6899.9884999999995</v>
      </c>
      <c r="T894" s="19" t="s">
        <v>36</v>
      </c>
      <c r="U894" s="20" t="s">
        <v>814</v>
      </c>
      <c r="V894" s="28">
        <v>36.5</v>
      </c>
      <c r="W894" s="22">
        <v>2</v>
      </c>
      <c r="X894" s="23"/>
    </row>
    <row r="895" spans="1:24" s="1" customFormat="1" ht="51.95" customHeight="1" x14ac:dyDescent="0.3">
      <c r="A895" s="11" t="s">
        <v>23</v>
      </c>
      <c r="B895" s="11" t="s">
        <v>1081</v>
      </c>
      <c r="C895" s="12" t="s">
        <v>1264</v>
      </c>
      <c r="D895" s="59"/>
      <c r="E895" s="39" t="str">
        <f>HYPERLINK("https://www.google.ru/search?q=3026682-001&amp;newwindow=1&amp;tbm=isch","Еще фото")</f>
        <v>Еще фото</v>
      </c>
      <c r="F895" s="13"/>
      <c r="G895" s="11" t="s">
        <v>808</v>
      </c>
      <c r="H895" s="11" t="s">
        <v>593</v>
      </c>
      <c r="I895" s="14" t="s">
        <v>809</v>
      </c>
      <c r="J895" s="14" t="s">
        <v>29</v>
      </c>
      <c r="K895" s="15" t="s">
        <v>30</v>
      </c>
      <c r="L895" s="56" t="s">
        <v>1265</v>
      </c>
      <c r="M895" s="14"/>
      <c r="N895" s="14" t="s">
        <v>33</v>
      </c>
      <c r="O895" s="14"/>
      <c r="P895" s="15" t="s">
        <v>1266</v>
      </c>
      <c r="Q895" s="16">
        <v>10999</v>
      </c>
      <c r="R895" s="17">
        <v>45.45</v>
      </c>
      <c r="S895" s="18">
        <v>6899.9884999999995</v>
      </c>
      <c r="T895" s="19" t="s">
        <v>36</v>
      </c>
      <c r="U895" s="20" t="s">
        <v>599</v>
      </c>
      <c r="V895" s="28">
        <v>39.5</v>
      </c>
      <c r="W895" s="22">
        <v>3</v>
      </c>
      <c r="X895" s="23"/>
    </row>
    <row r="896" spans="1:24" s="1" customFormat="1" ht="60.95" customHeight="1" x14ac:dyDescent="0.3">
      <c r="A896" s="24" t="s">
        <v>23</v>
      </c>
      <c r="B896" s="24" t="s">
        <v>1081</v>
      </c>
      <c r="C896" s="12" t="s">
        <v>1264</v>
      </c>
      <c r="D896" s="60"/>
      <c r="E896" s="39" t="str">
        <f>HYPERLINK("https://www.google.ru/search?q=3026682-001&amp;newwindow=1&amp;tbm=isch","Еще фото")</f>
        <v>Еще фото</v>
      </c>
      <c r="F896" s="13"/>
      <c r="G896" s="24" t="s">
        <v>808</v>
      </c>
      <c r="H896" s="24" t="s">
        <v>593</v>
      </c>
      <c r="I896" s="24" t="s">
        <v>809</v>
      </c>
      <c r="J896" s="14" t="s">
        <v>29</v>
      </c>
      <c r="K896" s="15" t="s">
        <v>30</v>
      </c>
      <c r="L896" s="58"/>
      <c r="M896" s="14"/>
      <c r="N896" s="14" t="s">
        <v>33</v>
      </c>
      <c r="O896" s="14"/>
      <c r="P896" s="15" t="s">
        <v>1266</v>
      </c>
      <c r="Q896" s="16">
        <v>10999</v>
      </c>
      <c r="R896" s="17">
        <v>45.45</v>
      </c>
      <c r="S896" s="18">
        <v>6899.9884999999995</v>
      </c>
      <c r="T896" s="19" t="s">
        <v>36</v>
      </c>
      <c r="U896" s="20" t="s">
        <v>600</v>
      </c>
      <c r="V896" s="22">
        <v>40</v>
      </c>
      <c r="W896" s="22">
        <v>1</v>
      </c>
      <c r="X896" s="23"/>
    </row>
    <row r="897" spans="1:24" s="1" customFormat="1" ht="35.1" customHeight="1" x14ac:dyDescent="0.3">
      <c r="A897" s="11" t="s">
        <v>23</v>
      </c>
      <c r="B897" s="11" t="s">
        <v>881</v>
      </c>
      <c r="C897" s="12" t="s">
        <v>1267</v>
      </c>
      <c r="D897" s="53"/>
      <c r="E897" s="39" t="str">
        <f>HYPERLINK("https://www.google.ru/search?q=3027006-002&amp;newwindow=1&amp;tbm=isch","Еще фото")</f>
        <v>Еще фото</v>
      </c>
      <c r="F897" s="13"/>
      <c r="G897" s="11" t="s">
        <v>808</v>
      </c>
      <c r="H897" s="11" t="s">
        <v>593</v>
      </c>
      <c r="I897" s="14" t="s">
        <v>809</v>
      </c>
      <c r="J897" s="14" t="s">
        <v>29</v>
      </c>
      <c r="K897" s="15" t="s">
        <v>64</v>
      </c>
      <c r="L897" s="56" t="s">
        <v>883</v>
      </c>
      <c r="M897" s="14"/>
      <c r="N897" s="14" t="s">
        <v>33</v>
      </c>
      <c r="O897" s="14"/>
      <c r="P897" s="15" t="s">
        <v>884</v>
      </c>
      <c r="Q897" s="16">
        <v>10999</v>
      </c>
      <c r="R897" s="17">
        <v>45.45</v>
      </c>
      <c r="S897" s="18">
        <v>6899.9884999999995</v>
      </c>
      <c r="T897" s="19" t="s">
        <v>36</v>
      </c>
      <c r="U897" s="20" t="s">
        <v>813</v>
      </c>
      <c r="V897" s="28">
        <v>35.5</v>
      </c>
      <c r="W897" s="22">
        <v>5</v>
      </c>
      <c r="X897" s="23"/>
    </row>
    <row r="898" spans="1:24" s="1" customFormat="1" ht="35.1" customHeight="1" x14ac:dyDescent="0.3">
      <c r="A898" s="24" t="s">
        <v>23</v>
      </c>
      <c r="B898" s="24" t="s">
        <v>881</v>
      </c>
      <c r="C898" s="12" t="s">
        <v>1267</v>
      </c>
      <c r="D898" s="54"/>
      <c r="E898" s="39" t="str">
        <f>HYPERLINK("https://www.google.ru/search?q=3027006-002&amp;newwindow=1&amp;tbm=isch","Еще фото")</f>
        <v>Еще фото</v>
      </c>
      <c r="F898" s="13"/>
      <c r="G898" s="24" t="s">
        <v>808</v>
      </c>
      <c r="H898" s="24" t="s">
        <v>593</v>
      </c>
      <c r="I898" s="24" t="s">
        <v>809</v>
      </c>
      <c r="J898" s="14" t="s">
        <v>29</v>
      </c>
      <c r="K898" s="15" t="s">
        <v>64</v>
      </c>
      <c r="L898" s="57"/>
      <c r="M898" s="14"/>
      <c r="N898" s="14" t="s">
        <v>33</v>
      </c>
      <c r="O898" s="14"/>
      <c r="P898" s="15" t="s">
        <v>884</v>
      </c>
      <c r="Q898" s="16">
        <v>10999</v>
      </c>
      <c r="R898" s="17">
        <v>45.45</v>
      </c>
      <c r="S898" s="18">
        <v>6899.9884999999995</v>
      </c>
      <c r="T898" s="19" t="s">
        <v>36</v>
      </c>
      <c r="U898" s="20" t="s">
        <v>820</v>
      </c>
      <c r="V898" s="22">
        <v>36</v>
      </c>
      <c r="W898" s="22">
        <v>6</v>
      </c>
      <c r="X898" s="23"/>
    </row>
    <row r="899" spans="1:24" s="1" customFormat="1" ht="36.950000000000003" customHeight="1" x14ac:dyDescent="0.3">
      <c r="A899" s="24" t="s">
        <v>23</v>
      </c>
      <c r="B899" s="24" t="s">
        <v>881</v>
      </c>
      <c r="C899" s="12" t="s">
        <v>1267</v>
      </c>
      <c r="D899" s="55"/>
      <c r="E899" s="39" t="str">
        <f>HYPERLINK("https://www.google.ru/search?q=3027006-002&amp;newwindow=1&amp;tbm=isch","Еще фото")</f>
        <v>Еще фото</v>
      </c>
      <c r="F899" s="13"/>
      <c r="G899" s="24" t="s">
        <v>808</v>
      </c>
      <c r="H899" s="24" t="s">
        <v>593</v>
      </c>
      <c r="I899" s="24" t="s">
        <v>809</v>
      </c>
      <c r="J899" s="14" t="s">
        <v>29</v>
      </c>
      <c r="K899" s="15" t="s">
        <v>64</v>
      </c>
      <c r="L899" s="58"/>
      <c r="M899" s="14"/>
      <c r="N899" s="14" t="s">
        <v>33</v>
      </c>
      <c r="O899" s="14"/>
      <c r="P899" s="15" t="s">
        <v>884</v>
      </c>
      <c r="Q899" s="16">
        <v>10999</v>
      </c>
      <c r="R899" s="17">
        <v>45.45</v>
      </c>
      <c r="S899" s="18">
        <v>6899.9884999999995</v>
      </c>
      <c r="T899" s="19" t="s">
        <v>36</v>
      </c>
      <c r="U899" s="20" t="s">
        <v>814</v>
      </c>
      <c r="V899" s="28">
        <v>36.5</v>
      </c>
      <c r="W899" s="22">
        <v>3</v>
      </c>
      <c r="X899" s="23"/>
    </row>
    <row r="900" spans="1:24" s="1" customFormat="1" ht="108" customHeight="1" x14ac:dyDescent="0.3">
      <c r="A900" s="11" t="s">
        <v>23</v>
      </c>
      <c r="B900" s="11" t="s">
        <v>1268</v>
      </c>
      <c r="C900" s="12" t="s">
        <v>1269</v>
      </c>
      <c r="D900" s="25"/>
      <c r="E900" s="39" t="str">
        <f>HYPERLINK("https://www.google.ru/search?q=3028262-100&amp;newwindow=1&amp;tbm=isch","Еще фото")</f>
        <v>Еще фото</v>
      </c>
      <c r="F900" s="13"/>
      <c r="G900" s="11" t="s">
        <v>808</v>
      </c>
      <c r="H900" s="11" t="s">
        <v>593</v>
      </c>
      <c r="I900" s="14" t="s">
        <v>809</v>
      </c>
      <c r="J900" s="14" t="s">
        <v>29</v>
      </c>
      <c r="K900" s="15" t="s">
        <v>64</v>
      </c>
      <c r="L900" s="14" t="s">
        <v>1270</v>
      </c>
      <c r="M900" s="14"/>
      <c r="N900" s="14" t="s">
        <v>74</v>
      </c>
      <c r="O900" s="14"/>
      <c r="P900" s="15" t="s">
        <v>597</v>
      </c>
      <c r="Q900" s="16">
        <v>10999</v>
      </c>
      <c r="R900" s="17">
        <v>45.45</v>
      </c>
      <c r="S900" s="18">
        <v>6899.9884999999995</v>
      </c>
      <c r="T900" s="19" t="s">
        <v>36</v>
      </c>
      <c r="U900" s="20" t="s">
        <v>820</v>
      </c>
      <c r="V900" s="22">
        <v>36</v>
      </c>
      <c r="W900" s="22">
        <v>1</v>
      </c>
      <c r="X900" s="23"/>
    </row>
    <row r="901" spans="1:24" s="1" customFormat="1" ht="51.95" customHeight="1" x14ac:dyDescent="0.3">
      <c r="A901" s="11" t="s">
        <v>23</v>
      </c>
      <c r="B901" s="11" t="s">
        <v>1271</v>
      </c>
      <c r="C901" s="12" t="s">
        <v>1272</v>
      </c>
      <c r="D901" s="59"/>
      <c r="E901" s="39" t="str">
        <f>HYPERLINK("https://www.google.ru/search?q=3027646-003&amp;newwindow=1&amp;tbm=isch","Еще фото")</f>
        <v>Еще фото</v>
      </c>
      <c r="F901" s="13" t="s">
        <v>98</v>
      </c>
      <c r="G901" s="11" t="s">
        <v>808</v>
      </c>
      <c r="H901" s="11" t="s">
        <v>593</v>
      </c>
      <c r="I901" s="14" t="s">
        <v>809</v>
      </c>
      <c r="J901" s="14" t="s">
        <v>892</v>
      </c>
      <c r="K901" s="15" t="s">
        <v>578</v>
      </c>
      <c r="L901" s="56" t="s">
        <v>1273</v>
      </c>
      <c r="M901" s="14"/>
      <c r="N901" s="14" t="s">
        <v>33</v>
      </c>
      <c r="O901" s="14"/>
      <c r="P901" s="15" t="s">
        <v>1274</v>
      </c>
      <c r="Q901" s="16">
        <v>9899</v>
      </c>
      <c r="R901" s="17">
        <v>45.45</v>
      </c>
      <c r="S901" s="18">
        <v>6209.9884999999995</v>
      </c>
      <c r="T901" s="19" t="s">
        <v>36</v>
      </c>
      <c r="U901" s="20" t="s">
        <v>876</v>
      </c>
      <c r="V901" s="22">
        <v>42</v>
      </c>
      <c r="W901" s="22">
        <v>3</v>
      </c>
      <c r="X901" s="23"/>
    </row>
    <row r="902" spans="1:24" s="1" customFormat="1" ht="60.95" customHeight="1" x14ac:dyDescent="0.3">
      <c r="A902" s="24" t="s">
        <v>23</v>
      </c>
      <c r="B902" s="24" t="s">
        <v>1271</v>
      </c>
      <c r="C902" s="12" t="s">
        <v>1272</v>
      </c>
      <c r="D902" s="60"/>
      <c r="E902" s="39" t="str">
        <f>HYPERLINK("https://www.google.ru/search?q=3027646-003&amp;newwindow=1&amp;tbm=isch","Еще фото")</f>
        <v>Еще фото</v>
      </c>
      <c r="F902" s="13" t="s">
        <v>98</v>
      </c>
      <c r="G902" s="24" t="s">
        <v>808</v>
      </c>
      <c r="H902" s="24" t="s">
        <v>593</v>
      </c>
      <c r="I902" s="24" t="s">
        <v>809</v>
      </c>
      <c r="J902" s="14" t="s">
        <v>892</v>
      </c>
      <c r="K902" s="15" t="s">
        <v>578</v>
      </c>
      <c r="L902" s="58"/>
      <c r="M902" s="14"/>
      <c r="N902" s="14" t="s">
        <v>33</v>
      </c>
      <c r="O902" s="14"/>
      <c r="P902" s="15" t="s">
        <v>1274</v>
      </c>
      <c r="Q902" s="16">
        <v>9899</v>
      </c>
      <c r="R902" s="17">
        <v>45.45</v>
      </c>
      <c r="S902" s="18">
        <v>6209.9884999999995</v>
      </c>
      <c r="T902" s="19" t="s">
        <v>36</v>
      </c>
      <c r="U902" s="20" t="s">
        <v>878</v>
      </c>
      <c r="V902" s="28">
        <v>43.5</v>
      </c>
      <c r="W902" s="22">
        <v>1</v>
      </c>
      <c r="X902" s="23"/>
    </row>
    <row r="903" spans="1:24" s="1" customFormat="1" ht="108" customHeight="1" x14ac:dyDescent="0.3">
      <c r="A903" s="11" t="s">
        <v>23</v>
      </c>
      <c r="B903" s="11" t="s">
        <v>1271</v>
      </c>
      <c r="C903" s="12" t="s">
        <v>1275</v>
      </c>
      <c r="D903" s="25"/>
      <c r="E903" s="39" t="str">
        <f>HYPERLINK("https://www.google.ru/search?q=3027646-453&amp;newwindow=1&amp;tbm=isch","Еще фото")</f>
        <v>Еще фото</v>
      </c>
      <c r="F903" s="13" t="s">
        <v>98</v>
      </c>
      <c r="G903" s="11" t="s">
        <v>808</v>
      </c>
      <c r="H903" s="11" t="s">
        <v>593</v>
      </c>
      <c r="I903" s="14" t="s">
        <v>809</v>
      </c>
      <c r="J903" s="14" t="s">
        <v>892</v>
      </c>
      <c r="K903" s="15" t="s">
        <v>578</v>
      </c>
      <c r="L903" s="14" t="s">
        <v>1273</v>
      </c>
      <c r="M903" s="14"/>
      <c r="N903" s="14" t="s">
        <v>91</v>
      </c>
      <c r="O903" s="14"/>
      <c r="P903" s="15" t="s">
        <v>1064</v>
      </c>
      <c r="Q903" s="16">
        <v>9899</v>
      </c>
      <c r="R903" s="17">
        <v>45.45</v>
      </c>
      <c r="S903" s="18">
        <v>6209.9884999999995</v>
      </c>
      <c r="T903" s="19" t="s">
        <v>36</v>
      </c>
      <c r="U903" s="20" t="s">
        <v>878</v>
      </c>
      <c r="V903" s="28">
        <v>43.5</v>
      </c>
      <c r="W903" s="22">
        <v>3</v>
      </c>
      <c r="X903" s="23"/>
    </row>
    <row r="904" spans="1:24" s="1" customFormat="1" ht="108" customHeight="1" x14ac:dyDescent="0.3">
      <c r="A904" s="11" t="s">
        <v>23</v>
      </c>
      <c r="B904" s="11" t="s">
        <v>1276</v>
      </c>
      <c r="C904" s="12" t="s">
        <v>1277</v>
      </c>
      <c r="D904" s="25"/>
      <c r="E904" s="39" t="str">
        <f>HYPERLINK("https://www.google.ru/search?q=3024894-005&amp;newwindow=1&amp;tbm=isch","Еще фото")</f>
        <v>Еще фото</v>
      </c>
      <c r="F904" s="13"/>
      <c r="G904" s="11" t="s">
        <v>808</v>
      </c>
      <c r="H904" s="11" t="s">
        <v>593</v>
      </c>
      <c r="I904" s="14" t="s">
        <v>809</v>
      </c>
      <c r="J904" s="14" t="s">
        <v>29</v>
      </c>
      <c r="K904" s="15" t="s">
        <v>64</v>
      </c>
      <c r="L904" s="14" t="s">
        <v>1278</v>
      </c>
      <c r="M904" s="14" t="s">
        <v>49</v>
      </c>
      <c r="N904" s="14" t="s">
        <v>33</v>
      </c>
      <c r="O904" s="14"/>
      <c r="P904" s="15" t="s">
        <v>1279</v>
      </c>
      <c r="Q904" s="16">
        <v>8799</v>
      </c>
      <c r="R904" s="17">
        <v>45.45</v>
      </c>
      <c r="S904" s="18">
        <v>5519.9884999999995</v>
      </c>
      <c r="T904" s="19" t="s">
        <v>36</v>
      </c>
      <c r="U904" s="20" t="s">
        <v>814</v>
      </c>
      <c r="V904" s="28">
        <v>36.5</v>
      </c>
      <c r="W904" s="22">
        <v>1</v>
      </c>
      <c r="X904" s="23"/>
    </row>
    <row r="905" spans="1:24" s="1" customFormat="1" ht="108" customHeight="1" x14ac:dyDescent="0.3">
      <c r="A905" s="11" t="s">
        <v>23</v>
      </c>
      <c r="B905" s="11" t="s">
        <v>1276</v>
      </c>
      <c r="C905" s="12" t="s">
        <v>1280</v>
      </c>
      <c r="D905" s="25"/>
      <c r="E905" s="39" t="str">
        <f>HYPERLINK("https://www.google.ru/search?q=3024894-112&amp;newwindow=1&amp;tbm=isch","Еще фото")</f>
        <v>Еще фото</v>
      </c>
      <c r="F905" s="13"/>
      <c r="G905" s="11" t="s">
        <v>808</v>
      </c>
      <c r="H905" s="11" t="s">
        <v>593</v>
      </c>
      <c r="I905" s="14" t="s">
        <v>809</v>
      </c>
      <c r="J905" s="14" t="s">
        <v>29</v>
      </c>
      <c r="K905" s="15" t="s">
        <v>64</v>
      </c>
      <c r="L905" s="14" t="s">
        <v>1278</v>
      </c>
      <c r="M905" s="14" t="s">
        <v>49</v>
      </c>
      <c r="N905" s="14" t="s">
        <v>84</v>
      </c>
      <c r="O905" s="14"/>
      <c r="P905" s="15" t="s">
        <v>1281</v>
      </c>
      <c r="Q905" s="16">
        <v>8799</v>
      </c>
      <c r="R905" s="17">
        <v>45.45</v>
      </c>
      <c r="S905" s="18">
        <v>5519.9884999999995</v>
      </c>
      <c r="T905" s="19" t="s">
        <v>36</v>
      </c>
      <c r="U905" s="20" t="s">
        <v>814</v>
      </c>
      <c r="V905" s="28">
        <v>36.5</v>
      </c>
      <c r="W905" s="22">
        <v>1</v>
      </c>
      <c r="X905" s="23"/>
    </row>
    <row r="906" spans="1:24" s="1" customFormat="1" ht="108" customHeight="1" x14ac:dyDescent="0.3">
      <c r="A906" s="11" t="s">
        <v>23</v>
      </c>
      <c r="B906" s="11" t="s">
        <v>1282</v>
      </c>
      <c r="C906" s="12" t="s">
        <v>1283</v>
      </c>
      <c r="D906" s="25"/>
      <c r="E906" s="39" t="str">
        <f>HYPERLINK("https://www.google.ru/search?q=3025130-601&amp;newwindow=1&amp;tbm=isch","Еще фото")</f>
        <v>Еще фото</v>
      </c>
      <c r="F906" s="13"/>
      <c r="G906" s="11" t="s">
        <v>808</v>
      </c>
      <c r="H906" s="11" t="s">
        <v>593</v>
      </c>
      <c r="I906" s="14" t="s">
        <v>809</v>
      </c>
      <c r="J906" s="14" t="s">
        <v>29</v>
      </c>
      <c r="K906" s="15" t="s">
        <v>64</v>
      </c>
      <c r="L906" s="14" t="s">
        <v>1284</v>
      </c>
      <c r="M906" s="14" t="s">
        <v>1285</v>
      </c>
      <c r="N906" s="14" t="s">
        <v>57</v>
      </c>
      <c r="O906" s="14"/>
      <c r="P906" s="15" t="s">
        <v>1286</v>
      </c>
      <c r="Q906" s="16">
        <v>7699</v>
      </c>
      <c r="R906" s="17">
        <v>45.45</v>
      </c>
      <c r="S906" s="18">
        <v>4829.9884999999995</v>
      </c>
      <c r="T906" s="19" t="s">
        <v>36</v>
      </c>
      <c r="U906" s="20" t="s">
        <v>598</v>
      </c>
      <c r="V906" s="22">
        <v>37</v>
      </c>
      <c r="W906" s="22">
        <v>1</v>
      </c>
      <c r="X906" s="23"/>
    </row>
    <row r="907" spans="1:24" s="1" customFormat="1" ht="108" customHeight="1" x14ac:dyDescent="0.3">
      <c r="A907" s="11" t="s">
        <v>23</v>
      </c>
      <c r="B907" s="11" t="s">
        <v>1287</v>
      </c>
      <c r="C907" s="12" t="s">
        <v>1288</v>
      </c>
      <c r="D907" s="25"/>
      <c r="E907" s="39" t="str">
        <f>HYPERLINK("https://www.google.ru/search?q=3027007-600&amp;newwindow=1&amp;tbm=isch","Еще фото")</f>
        <v>Еще фото</v>
      </c>
      <c r="F907" s="13"/>
      <c r="G907" s="11" t="s">
        <v>808</v>
      </c>
      <c r="H907" s="11" t="s">
        <v>593</v>
      </c>
      <c r="I907" s="14" t="s">
        <v>809</v>
      </c>
      <c r="J907" s="14" t="s">
        <v>29</v>
      </c>
      <c r="K907" s="15" t="s">
        <v>64</v>
      </c>
      <c r="L907" s="14" t="s">
        <v>1289</v>
      </c>
      <c r="M907" s="14"/>
      <c r="N907" s="14" t="s">
        <v>57</v>
      </c>
      <c r="O907" s="14"/>
      <c r="P907" s="15" t="s">
        <v>1290</v>
      </c>
      <c r="Q907" s="16">
        <v>7699</v>
      </c>
      <c r="R907" s="17">
        <v>45.45</v>
      </c>
      <c r="S907" s="18">
        <v>4829.9884999999995</v>
      </c>
      <c r="T907" s="19" t="s">
        <v>36</v>
      </c>
      <c r="U907" s="20" t="s">
        <v>820</v>
      </c>
      <c r="V907" s="22">
        <v>36</v>
      </c>
      <c r="W907" s="22">
        <v>2</v>
      </c>
      <c r="X907" s="23"/>
    </row>
    <row r="908" spans="1:24" s="1" customFormat="1" ht="108" customHeight="1" x14ac:dyDescent="0.3">
      <c r="A908" s="11" t="s">
        <v>23</v>
      </c>
      <c r="B908" s="11" t="s">
        <v>1291</v>
      </c>
      <c r="C908" s="12" t="s">
        <v>1292</v>
      </c>
      <c r="D908" s="25"/>
      <c r="E908" s="39" t="str">
        <f>HYPERLINK("https://www.google.ru/search?q=3028259-002&amp;newwindow=1&amp;tbm=isch","Еще фото")</f>
        <v>Еще фото</v>
      </c>
      <c r="F908" s="13"/>
      <c r="G908" s="11" t="s">
        <v>808</v>
      </c>
      <c r="H908" s="11" t="s">
        <v>593</v>
      </c>
      <c r="I908" s="14" t="s">
        <v>809</v>
      </c>
      <c r="J908" s="14" t="s">
        <v>29</v>
      </c>
      <c r="K908" s="15" t="s">
        <v>64</v>
      </c>
      <c r="L908" s="14" t="s">
        <v>1293</v>
      </c>
      <c r="M908" s="14"/>
      <c r="N908" s="14" t="s">
        <v>33</v>
      </c>
      <c r="O908" s="14"/>
      <c r="P908" s="15" t="s">
        <v>1294</v>
      </c>
      <c r="Q908" s="16">
        <v>6599</v>
      </c>
      <c r="R908" s="17">
        <v>45.45</v>
      </c>
      <c r="S908" s="18">
        <v>4139.9884999999995</v>
      </c>
      <c r="T908" s="19" t="s">
        <v>36</v>
      </c>
      <c r="U908" s="20" t="s">
        <v>599</v>
      </c>
      <c r="V908" s="28">
        <v>37.5</v>
      </c>
      <c r="W908" s="22">
        <v>1</v>
      </c>
      <c r="X908" s="23"/>
    </row>
    <row r="909" spans="1:24" s="1" customFormat="1" ht="108" customHeight="1" x14ac:dyDescent="0.3">
      <c r="A909" s="11" t="s">
        <v>23</v>
      </c>
      <c r="B909" s="11" t="s">
        <v>1295</v>
      </c>
      <c r="C909" s="12" t="s">
        <v>1296</v>
      </c>
      <c r="D909" s="25"/>
      <c r="E909" s="39" t="str">
        <f>HYPERLINK("https://www.google.ru/search?q=3026610-001&amp;newwindow=1&amp;tbm=isch","Еще фото")</f>
        <v>Еще фото</v>
      </c>
      <c r="F909" s="13"/>
      <c r="G909" s="11" t="s">
        <v>808</v>
      </c>
      <c r="H909" s="11" t="s">
        <v>593</v>
      </c>
      <c r="I909" s="14" t="s">
        <v>809</v>
      </c>
      <c r="J909" s="14" t="s">
        <v>29</v>
      </c>
      <c r="K909" s="15" t="s">
        <v>578</v>
      </c>
      <c r="L909" s="14" t="s">
        <v>1012</v>
      </c>
      <c r="M909" s="14" t="s">
        <v>836</v>
      </c>
      <c r="N909" s="14" t="s">
        <v>33</v>
      </c>
      <c r="O909" s="14"/>
      <c r="P909" s="15" t="s">
        <v>1297</v>
      </c>
      <c r="Q909" s="16">
        <v>23999</v>
      </c>
      <c r="R909" s="17">
        <v>45.41</v>
      </c>
      <c r="S909" s="18">
        <v>15064.988499999999</v>
      </c>
      <c r="T909" s="19" t="s">
        <v>36</v>
      </c>
      <c r="U909" s="20" t="s">
        <v>599</v>
      </c>
      <c r="V909" s="28">
        <v>39.5</v>
      </c>
      <c r="W909" s="22">
        <v>2</v>
      </c>
      <c r="X909" s="23"/>
    </row>
    <row r="910" spans="1:24" s="1" customFormat="1" ht="108" customHeight="1" x14ac:dyDescent="0.3">
      <c r="A910" s="11" t="s">
        <v>23</v>
      </c>
      <c r="B910" s="11" t="s">
        <v>1298</v>
      </c>
      <c r="C910" s="12" t="s">
        <v>1299</v>
      </c>
      <c r="D910" s="25"/>
      <c r="E910" s="39" t="str">
        <f>HYPERLINK("https://www.google.ru/search?q=3025355-001&amp;newwindow=1&amp;tbm=isch","Еще фото")</f>
        <v>Еще фото</v>
      </c>
      <c r="F910" s="13"/>
      <c r="G910" s="11" t="s">
        <v>808</v>
      </c>
      <c r="H910" s="11" t="s">
        <v>593</v>
      </c>
      <c r="I910" s="14" t="s">
        <v>809</v>
      </c>
      <c r="J910" s="14" t="s">
        <v>29</v>
      </c>
      <c r="K910" s="15" t="s">
        <v>64</v>
      </c>
      <c r="L910" s="14" t="s">
        <v>1300</v>
      </c>
      <c r="M910" s="14" t="s">
        <v>824</v>
      </c>
      <c r="N910" s="14" t="s">
        <v>33</v>
      </c>
      <c r="O910" s="14" t="s">
        <v>34</v>
      </c>
      <c r="P910" s="15" t="s">
        <v>1301</v>
      </c>
      <c r="Q910" s="16">
        <v>20699</v>
      </c>
      <c r="R910" s="17">
        <v>45.41</v>
      </c>
      <c r="S910" s="18">
        <v>12994.988499999999</v>
      </c>
      <c r="T910" s="19" t="s">
        <v>36</v>
      </c>
      <c r="U910" s="20" t="s">
        <v>813</v>
      </c>
      <c r="V910" s="28">
        <v>35.5</v>
      </c>
      <c r="W910" s="22">
        <v>1</v>
      </c>
      <c r="X910" s="23"/>
    </row>
    <row r="911" spans="1:24" s="1" customFormat="1" ht="108" customHeight="1" x14ac:dyDescent="0.3">
      <c r="A911" s="11" t="s">
        <v>23</v>
      </c>
      <c r="B911" s="11" t="s">
        <v>946</v>
      </c>
      <c r="C911" s="12" t="s">
        <v>1302</v>
      </c>
      <c r="D911" s="25"/>
      <c r="E911" s="39" t="str">
        <f>HYPERLINK("https://www.google.ru/search?q=3027777-104&amp;newwindow=1&amp;tbm=isch","Еще фото")</f>
        <v>Еще фото</v>
      </c>
      <c r="F911" s="13"/>
      <c r="G911" s="11" t="s">
        <v>808</v>
      </c>
      <c r="H911" s="11" t="s">
        <v>593</v>
      </c>
      <c r="I911" s="14" t="s">
        <v>809</v>
      </c>
      <c r="J911" s="14" t="s">
        <v>29</v>
      </c>
      <c r="K911" s="15" t="s">
        <v>64</v>
      </c>
      <c r="L911" s="14" t="s">
        <v>1303</v>
      </c>
      <c r="M911" s="14"/>
      <c r="N911" s="14" t="s">
        <v>74</v>
      </c>
      <c r="O911" s="14"/>
      <c r="P911" s="15" t="s">
        <v>1304</v>
      </c>
      <c r="Q911" s="16">
        <v>15199</v>
      </c>
      <c r="R911" s="17">
        <v>45.39</v>
      </c>
      <c r="S911" s="18">
        <v>9544.9884999999995</v>
      </c>
      <c r="T911" s="19" t="s">
        <v>36</v>
      </c>
      <c r="U911" s="20" t="s">
        <v>820</v>
      </c>
      <c r="V911" s="22">
        <v>36</v>
      </c>
      <c r="W911" s="22">
        <v>4</v>
      </c>
      <c r="X911" s="23"/>
    </row>
    <row r="912" spans="1:24" s="1" customFormat="1" ht="51.95" customHeight="1" x14ac:dyDescent="0.3">
      <c r="A912" s="11" t="s">
        <v>23</v>
      </c>
      <c r="B912" s="11" t="s">
        <v>1305</v>
      </c>
      <c r="C912" s="12" t="s">
        <v>1306</v>
      </c>
      <c r="D912" s="59"/>
      <c r="E912" s="39" t="str">
        <f>HYPERLINK("https://www.google.ru/search?q=3024906-001&amp;newwindow=1&amp;tbm=isch","Еще фото")</f>
        <v>Еще фото</v>
      </c>
      <c r="F912" s="13"/>
      <c r="G912" s="11" t="s">
        <v>808</v>
      </c>
      <c r="H912" s="11" t="s">
        <v>593</v>
      </c>
      <c r="I912" s="14" t="s">
        <v>809</v>
      </c>
      <c r="J912" s="14" t="s">
        <v>29</v>
      </c>
      <c r="K912" s="15" t="s">
        <v>64</v>
      </c>
      <c r="L912" s="56" t="s">
        <v>1307</v>
      </c>
      <c r="M912" s="14" t="s">
        <v>824</v>
      </c>
      <c r="N912" s="14" t="s">
        <v>33</v>
      </c>
      <c r="O912" s="14" t="s">
        <v>34</v>
      </c>
      <c r="P912" s="15" t="s">
        <v>1308</v>
      </c>
      <c r="Q912" s="16">
        <v>12999</v>
      </c>
      <c r="R912" s="17">
        <v>45.38</v>
      </c>
      <c r="S912" s="18">
        <v>8164.9884999999995</v>
      </c>
      <c r="T912" s="19" t="s">
        <v>36</v>
      </c>
      <c r="U912" s="20" t="s">
        <v>813</v>
      </c>
      <c r="V912" s="28">
        <v>35.5</v>
      </c>
      <c r="W912" s="22">
        <v>1</v>
      </c>
      <c r="X912" s="23"/>
    </row>
    <row r="913" spans="1:24" s="1" customFormat="1" ht="60.95" customHeight="1" x14ac:dyDescent="0.3">
      <c r="A913" s="24" t="s">
        <v>23</v>
      </c>
      <c r="B913" s="24" t="s">
        <v>1305</v>
      </c>
      <c r="C913" s="12" t="s">
        <v>1306</v>
      </c>
      <c r="D913" s="60"/>
      <c r="E913" s="39" t="str">
        <f>HYPERLINK("https://www.google.ru/search?q=3024906-001&amp;newwindow=1&amp;tbm=isch","Еще фото")</f>
        <v>Еще фото</v>
      </c>
      <c r="F913" s="13"/>
      <c r="G913" s="24" t="s">
        <v>808</v>
      </c>
      <c r="H913" s="24" t="s">
        <v>593</v>
      </c>
      <c r="I913" s="24" t="s">
        <v>809</v>
      </c>
      <c r="J913" s="14" t="s">
        <v>29</v>
      </c>
      <c r="K913" s="15" t="s">
        <v>64</v>
      </c>
      <c r="L913" s="58"/>
      <c r="M913" s="14" t="s">
        <v>824</v>
      </c>
      <c r="N913" s="14" t="s">
        <v>33</v>
      </c>
      <c r="O913" s="14" t="s">
        <v>34</v>
      </c>
      <c r="P913" s="15" t="s">
        <v>1308</v>
      </c>
      <c r="Q913" s="16">
        <v>12999</v>
      </c>
      <c r="R913" s="17">
        <v>45.38</v>
      </c>
      <c r="S913" s="18">
        <v>8164.9884999999995</v>
      </c>
      <c r="T913" s="19" t="s">
        <v>36</v>
      </c>
      <c r="U913" s="20" t="s">
        <v>814</v>
      </c>
      <c r="V913" s="28">
        <v>36.5</v>
      </c>
      <c r="W913" s="22">
        <v>1</v>
      </c>
      <c r="X913" s="23"/>
    </row>
    <row r="914" spans="1:24" s="1" customFormat="1" ht="51.95" customHeight="1" x14ac:dyDescent="0.3">
      <c r="A914" s="11" t="s">
        <v>23</v>
      </c>
      <c r="B914" s="11" t="s">
        <v>864</v>
      </c>
      <c r="C914" s="12" t="s">
        <v>1309</v>
      </c>
      <c r="D914" s="59"/>
      <c r="E914" s="39" t="str">
        <f>HYPERLINK("https://www.google.ru/search?q=3026525-100&amp;newwindow=1&amp;tbm=isch","Еще фото")</f>
        <v>Еще фото</v>
      </c>
      <c r="F914" s="13"/>
      <c r="G914" s="11" t="s">
        <v>808</v>
      </c>
      <c r="H914" s="11" t="s">
        <v>593</v>
      </c>
      <c r="I914" s="14" t="s">
        <v>809</v>
      </c>
      <c r="J914" s="14" t="s">
        <v>29</v>
      </c>
      <c r="K914" s="15" t="s">
        <v>64</v>
      </c>
      <c r="L914" s="56" t="s">
        <v>866</v>
      </c>
      <c r="M914" s="14" t="s">
        <v>824</v>
      </c>
      <c r="N914" s="14" t="s">
        <v>74</v>
      </c>
      <c r="O914" s="14"/>
      <c r="P914" s="15" t="s">
        <v>1310</v>
      </c>
      <c r="Q914" s="16">
        <v>12999</v>
      </c>
      <c r="R914" s="17">
        <v>45.38</v>
      </c>
      <c r="S914" s="18">
        <v>8164.9884999999995</v>
      </c>
      <c r="T914" s="19" t="s">
        <v>36</v>
      </c>
      <c r="U914" s="20" t="s">
        <v>813</v>
      </c>
      <c r="V914" s="28">
        <v>35.5</v>
      </c>
      <c r="W914" s="22">
        <v>1</v>
      </c>
      <c r="X914" s="23"/>
    </row>
    <row r="915" spans="1:24" s="1" customFormat="1" ht="60.95" customHeight="1" x14ac:dyDescent="0.3">
      <c r="A915" s="24" t="s">
        <v>23</v>
      </c>
      <c r="B915" s="24" t="s">
        <v>864</v>
      </c>
      <c r="C915" s="12" t="s">
        <v>1309</v>
      </c>
      <c r="D915" s="60"/>
      <c r="E915" s="39" t="str">
        <f>HYPERLINK("https://www.google.ru/search?q=3026525-100&amp;newwindow=1&amp;tbm=isch","Еще фото")</f>
        <v>Еще фото</v>
      </c>
      <c r="F915" s="13"/>
      <c r="G915" s="24" t="s">
        <v>808</v>
      </c>
      <c r="H915" s="24" t="s">
        <v>593</v>
      </c>
      <c r="I915" s="24" t="s">
        <v>809</v>
      </c>
      <c r="J915" s="14" t="s">
        <v>29</v>
      </c>
      <c r="K915" s="15" t="s">
        <v>64</v>
      </c>
      <c r="L915" s="58"/>
      <c r="M915" s="14" t="s">
        <v>824</v>
      </c>
      <c r="N915" s="14" t="s">
        <v>74</v>
      </c>
      <c r="O915" s="14"/>
      <c r="P915" s="15" t="s">
        <v>1310</v>
      </c>
      <c r="Q915" s="16">
        <v>12999</v>
      </c>
      <c r="R915" s="17">
        <v>45.38</v>
      </c>
      <c r="S915" s="18">
        <v>8164.9884999999995</v>
      </c>
      <c r="T915" s="19" t="s">
        <v>36</v>
      </c>
      <c r="U915" s="20" t="s">
        <v>820</v>
      </c>
      <c r="V915" s="22">
        <v>36</v>
      </c>
      <c r="W915" s="22">
        <v>1</v>
      </c>
      <c r="X915" s="23"/>
    </row>
    <row r="916" spans="1:24" s="1" customFormat="1" ht="51.95" customHeight="1" x14ac:dyDescent="0.3">
      <c r="A916" s="11" t="s">
        <v>23</v>
      </c>
      <c r="B916" s="11" t="s">
        <v>1311</v>
      </c>
      <c r="C916" s="12" t="s">
        <v>1312</v>
      </c>
      <c r="D916" s="59"/>
      <c r="E916" s="39" t="str">
        <f>HYPERLINK("https://www.google.ru/search?q=3028371-024&amp;newwindow=1&amp;tbm=isch","Еще фото")</f>
        <v>Еще фото</v>
      </c>
      <c r="F916" s="13" t="s">
        <v>98</v>
      </c>
      <c r="G916" s="11" t="s">
        <v>808</v>
      </c>
      <c r="H916" s="11" t="s">
        <v>593</v>
      </c>
      <c r="I916" s="14" t="s">
        <v>809</v>
      </c>
      <c r="J916" s="14" t="s">
        <v>29</v>
      </c>
      <c r="K916" s="15" t="s">
        <v>30</v>
      </c>
      <c r="L916" s="56" t="s">
        <v>1313</v>
      </c>
      <c r="M916" s="14"/>
      <c r="N916" s="14" t="s">
        <v>84</v>
      </c>
      <c r="O916" s="14"/>
      <c r="P916" s="15" t="s">
        <v>1314</v>
      </c>
      <c r="Q916" s="16">
        <v>10799</v>
      </c>
      <c r="R916" s="17">
        <v>45.37</v>
      </c>
      <c r="S916" s="18">
        <v>6784.9884999999995</v>
      </c>
      <c r="T916" s="19" t="s">
        <v>36</v>
      </c>
      <c r="U916" s="20" t="s">
        <v>600</v>
      </c>
      <c r="V916" s="22">
        <v>40</v>
      </c>
      <c r="W916" s="22">
        <v>1</v>
      </c>
      <c r="X916" s="23"/>
    </row>
    <row r="917" spans="1:24" s="1" customFormat="1" ht="60.95" customHeight="1" x14ac:dyDescent="0.3">
      <c r="A917" s="24" t="s">
        <v>23</v>
      </c>
      <c r="B917" s="24" t="s">
        <v>1311</v>
      </c>
      <c r="C917" s="12" t="s">
        <v>1312</v>
      </c>
      <c r="D917" s="60"/>
      <c r="E917" s="39" t="str">
        <f>HYPERLINK("https://www.google.ru/search?q=3028371-024&amp;newwindow=1&amp;tbm=isch","Еще фото")</f>
        <v>Еще фото</v>
      </c>
      <c r="F917" s="13" t="s">
        <v>98</v>
      </c>
      <c r="G917" s="24" t="s">
        <v>808</v>
      </c>
      <c r="H917" s="24" t="s">
        <v>593</v>
      </c>
      <c r="I917" s="24" t="s">
        <v>809</v>
      </c>
      <c r="J917" s="14" t="s">
        <v>29</v>
      </c>
      <c r="K917" s="15" t="s">
        <v>30</v>
      </c>
      <c r="L917" s="58"/>
      <c r="M917" s="14"/>
      <c r="N917" s="14" t="s">
        <v>84</v>
      </c>
      <c r="O917" s="14"/>
      <c r="P917" s="15" t="s">
        <v>1314</v>
      </c>
      <c r="Q917" s="16">
        <v>10799</v>
      </c>
      <c r="R917" s="17">
        <v>45.37</v>
      </c>
      <c r="S917" s="18">
        <v>6784.9884999999995</v>
      </c>
      <c r="T917" s="19" t="s">
        <v>36</v>
      </c>
      <c r="U917" s="20" t="s">
        <v>607</v>
      </c>
      <c r="V917" s="28">
        <v>44.5</v>
      </c>
      <c r="W917" s="22">
        <v>1</v>
      </c>
      <c r="X917" s="23"/>
    </row>
    <row r="918" spans="1:24" s="1" customFormat="1" ht="108" customHeight="1" x14ac:dyDescent="0.3">
      <c r="A918" s="11" t="s">
        <v>23</v>
      </c>
      <c r="B918" s="11" t="s">
        <v>1081</v>
      </c>
      <c r="C918" s="12" t="s">
        <v>1315</v>
      </c>
      <c r="D918" s="25"/>
      <c r="E918" s="39" t="str">
        <f>HYPERLINK("https://www.google.ru/search?q=3026682-105&amp;newwindow=1&amp;tbm=isch","Еще фото")</f>
        <v>Еще фото</v>
      </c>
      <c r="F918" s="13"/>
      <c r="G918" s="11" t="s">
        <v>808</v>
      </c>
      <c r="H918" s="11" t="s">
        <v>593</v>
      </c>
      <c r="I918" s="14" t="s">
        <v>809</v>
      </c>
      <c r="J918" s="14" t="s">
        <v>29</v>
      </c>
      <c r="K918" s="15" t="s">
        <v>30</v>
      </c>
      <c r="L918" s="14" t="s">
        <v>1265</v>
      </c>
      <c r="M918" s="14" t="s">
        <v>959</v>
      </c>
      <c r="N918" s="14" t="s">
        <v>84</v>
      </c>
      <c r="O918" s="14"/>
      <c r="P918" s="15" t="s">
        <v>1316</v>
      </c>
      <c r="Q918" s="16">
        <v>9699</v>
      </c>
      <c r="R918" s="17">
        <v>45.36</v>
      </c>
      <c r="S918" s="18">
        <v>6094.9884999999995</v>
      </c>
      <c r="T918" s="19" t="s">
        <v>36</v>
      </c>
      <c r="U918" s="20" t="s">
        <v>599</v>
      </c>
      <c r="V918" s="28">
        <v>39.5</v>
      </c>
      <c r="W918" s="22">
        <v>1</v>
      </c>
      <c r="X918" s="23"/>
    </row>
    <row r="919" spans="1:24" s="1" customFormat="1" ht="51.95" customHeight="1" x14ac:dyDescent="0.3">
      <c r="A919" s="11" t="s">
        <v>23</v>
      </c>
      <c r="B919" s="11" t="s">
        <v>843</v>
      </c>
      <c r="C919" s="12" t="s">
        <v>1317</v>
      </c>
      <c r="D919" s="59"/>
      <c r="E919" s="39" t="str">
        <f>HYPERLINK("https://www.google.ru/search?q=3025060-100&amp;newwindow=1&amp;tbm=isch","Еще фото")</f>
        <v>Еще фото</v>
      </c>
      <c r="F919" s="13"/>
      <c r="G919" s="11" t="s">
        <v>808</v>
      </c>
      <c r="H919" s="11" t="s">
        <v>593</v>
      </c>
      <c r="I919" s="14" t="s">
        <v>809</v>
      </c>
      <c r="J919" s="14" t="s">
        <v>29</v>
      </c>
      <c r="K919" s="15" t="s">
        <v>64</v>
      </c>
      <c r="L919" s="56" t="s">
        <v>1318</v>
      </c>
      <c r="M919" s="14" t="s">
        <v>811</v>
      </c>
      <c r="N919" s="14" t="s">
        <v>74</v>
      </c>
      <c r="O919" s="14"/>
      <c r="P919" s="15" t="s">
        <v>1043</v>
      </c>
      <c r="Q919" s="16">
        <v>8599</v>
      </c>
      <c r="R919" s="17">
        <v>45.34</v>
      </c>
      <c r="S919" s="18">
        <v>5404.9884999999995</v>
      </c>
      <c r="T919" s="19" t="s">
        <v>36</v>
      </c>
      <c r="U919" s="20" t="s">
        <v>813</v>
      </c>
      <c r="V919" s="28">
        <v>35.5</v>
      </c>
      <c r="W919" s="22">
        <v>1</v>
      </c>
      <c r="X919" s="23"/>
    </row>
    <row r="920" spans="1:24" s="1" customFormat="1" ht="60.95" customHeight="1" x14ac:dyDescent="0.3">
      <c r="A920" s="24" t="s">
        <v>23</v>
      </c>
      <c r="B920" s="24" t="s">
        <v>843</v>
      </c>
      <c r="C920" s="12" t="s">
        <v>1317</v>
      </c>
      <c r="D920" s="60"/>
      <c r="E920" s="39" t="str">
        <f>HYPERLINK("https://www.google.ru/search?q=3025060-100&amp;newwindow=1&amp;tbm=isch","Еще фото")</f>
        <v>Еще фото</v>
      </c>
      <c r="F920" s="13"/>
      <c r="G920" s="24" t="s">
        <v>808</v>
      </c>
      <c r="H920" s="24" t="s">
        <v>593</v>
      </c>
      <c r="I920" s="24" t="s">
        <v>809</v>
      </c>
      <c r="J920" s="14" t="s">
        <v>29</v>
      </c>
      <c r="K920" s="15" t="s">
        <v>64</v>
      </c>
      <c r="L920" s="58"/>
      <c r="M920" s="14" t="s">
        <v>811</v>
      </c>
      <c r="N920" s="14" t="s">
        <v>74</v>
      </c>
      <c r="O920" s="14"/>
      <c r="P920" s="15" t="s">
        <v>1043</v>
      </c>
      <c r="Q920" s="16">
        <v>8599</v>
      </c>
      <c r="R920" s="17">
        <v>45.34</v>
      </c>
      <c r="S920" s="18">
        <v>5404.9884999999995</v>
      </c>
      <c r="T920" s="19" t="s">
        <v>36</v>
      </c>
      <c r="U920" s="20" t="s">
        <v>600</v>
      </c>
      <c r="V920" s="22">
        <v>38</v>
      </c>
      <c r="W920" s="22">
        <v>1</v>
      </c>
      <c r="X920" s="23"/>
    </row>
    <row r="921" spans="1:24" s="1" customFormat="1" ht="108" customHeight="1" x14ac:dyDescent="0.3">
      <c r="A921" s="11" t="s">
        <v>23</v>
      </c>
      <c r="B921" s="11" t="s">
        <v>1216</v>
      </c>
      <c r="C921" s="12" t="s">
        <v>1319</v>
      </c>
      <c r="D921" s="25"/>
      <c r="E921" s="39" t="str">
        <f>HYPERLINK("https://www.google.ru/search?q=3026175-009&amp;newwindow=1&amp;tbm=isch","Еще фото")</f>
        <v>Еще фото</v>
      </c>
      <c r="F921" s="13" t="s">
        <v>98</v>
      </c>
      <c r="G921" s="11" t="s">
        <v>808</v>
      </c>
      <c r="H921" s="11" t="s">
        <v>593</v>
      </c>
      <c r="I921" s="14" t="s">
        <v>809</v>
      </c>
      <c r="J921" s="14" t="s">
        <v>29</v>
      </c>
      <c r="K921" s="15" t="s">
        <v>30</v>
      </c>
      <c r="L921" s="14" t="s">
        <v>1218</v>
      </c>
      <c r="M921" s="14"/>
      <c r="N921" s="14" t="s">
        <v>33</v>
      </c>
      <c r="O921" s="14"/>
      <c r="P921" s="15" t="s">
        <v>1274</v>
      </c>
      <c r="Q921" s="16">
        <v>8599</v>
      </c>
      <c r="R921" s="17">
        <v>45.34</v>
      </c>
      <c r="S921" s="18">
        <v>5404.9884999999995</v>
      </c>
      <c r="T921" s="19" t="s">
        <v>36</v>
      </c>
      <c r="U921" s="20" t="s">
        <v>600</v>
      </c>
      <c r="V921" s="22">
        <v>40</v>
      </c>
      <c r="W921" s="22">
        <v>1</v>
      </c>
      <c r="X921" s="23"/>
    </row>
    <row r="922" spans="1:24" s="1" customFormat="1" ht="108" customHeight="1" x14ac:dyDescent="0.3">
      <c r="A922" s="11" t="s">
        <v>23</v>
      </c>
      <c r="B922" s="11" t="s">
        <v>1216</v>
      </c>
      <c r="C922" s="12" t="s">
        <v>1320</v>
      </c>
      <c r="D922" s="25"/>
      <c r="E922" s="39" t="str">
        <f>HYPERLINK("https://www.google.ru/search?q=3026175-400&amp;newwindow=1&amp;tbm=isch","Еще фото")</f>
        <v>Еще фото</v>
      </c>
      <c r="F922" s="13" t="s">
        <v>98</v>
      </c>
      <c r="G922" s="11" t="s">
        <v>808</v>
      </c>
      <c r="H922" s="11" t="s">
        <v>593</v>
      </c>
      <c r="I922" s="14" t="s">
        <v>809</v>
      </c>
      <c r="J922" s="14" t="s">
        <v>29</v>
      </c>
      <c r="K922" s="15" t="s">
        <v>30</v>
      </c>
      <c r="L922" s="14" t="s">
        <v>1321</v>
      </c>
      <c r="M922" s="14" t="s">
        <v>811</v>
      </c>
      <c r="N922" s="14" t="s">
        <v>91</v>
      </c>
      <c r="O922" s="14"/>
      <c r="P922" s="15" t="s">
        <v>1064</v>
      </c>
      <c r="Q922" s="16">
        <v>8599</v>
      </c>
      <c r="R922" s="17">
        <v>45.34</v>
      </c>
      <c r="S922" s="18">
        <v>5404.9884999999995</v>
      </c>
      <c r="T922" s="19" t="s">
        <v>36</v>
      </c>
      <c r="U922" s="20" t="s">
        <v>600</v>
      </c>
      <c r="V922" s="22">
        <v>40</v>
      </c>
      <c r="W922" s="22">
        <v>1</v>
      </c>
      <c r="X922" s="23"/>
    </row>
    <row r="923" spans="1:24" s="1" customFormat="1" ht="108" customHeight="1" x14ac:dyDescent="0.3">
      <c r="A923" s="11" t="s">
        <v>23</v>
      </c>
      <c r="B923" s="11" t="s">
        <v>1322</v>
      </c>
      <c r="C923" s="12" t="s">
        <v>1323</v>
      </c>
      <c r="D923" s="25"/>
      <c r="E923" s="39" t="str">
        <f>HYPERLINK("https://www.google.ru/search?q=6009828-001&amp;newwindow=1&amp;tbm=isch","Еще фото")</f>
        <v>Еще фото</v>
      </c>
      <c r="F923" s="13"/>
      <c r="G923" s="11" t="s">
        <v>808</v>
      </c>
      <c r="H923" s="11" t="s">
        <v>593</v>
      </c>
      <c r="I923" s="14" t="s">
        <v>809</v>
      </c>
      <c r="J923" s="14" t="s">
        <v>29</v>
      </c>
      <c r="K923" s="15" t="s">
        <v>64</v>
      </c>
      <c r="L923" s="14" t="s">
        <v>1324</v>
      </c>
      <c r="M923" s="14"/>
      <c r="N923" s="14" t="s">
        <v>33</v>
      </c>
      <c r="O923" s="14"/>
      <c r="P923" s="15" t="s">
        <v>870</v>
      </c>
      <c r="Q923" s="16">
        <v>8599</v>
      </c>
      <c r="R923" s="17">
        <v>45.34</v>
      </c>
      <c r="S923" s="18">
        <v>5404.9884999999995</v>
      </c>
      <c r="T923" s="19" t="s">
        <v>36</v>
      </c>
      <c r="U923" s="20" t="s">
        <v>599</v>
      </c>
      <c r="V923" s="28">
        <v>37.5</v>
      </c>
      <c r="W923" s="22">
        <v>5</v>
      </c>
      <c r="X923" s="23"/>
    </row>
    <row r="924" spans="1:24" s="1" customFormat="1" ht="108" customHeight="1" x14ac:dyDescent="0.3">
      <c r="A924" s="11" t="s">
        <v>23</v>
      </c>
      <c r="B924" s="11" t="s">
        <v>1325</v>
      </c>
      <c r="C924" s="12" t="s">
        <v>1326</v>
      </c>
      <c r="D924" s="25"/>
      <c r="E924" s="39" t="str">
        <f>HYPERLINK("https://www.google.ru/search?q=3024897-601&amp;newwindow=1&amp;tbm=isch","Еще фото")</f>
        <v>Еще фото</v>
      </c>
      <c r="F924" s="13"/>
      <c r="G924" s="11" t="s">
        <v>808</v>
      </c>
      <c r="H924" s="11" t="s">
        <v>593</v>
      </c>
      <c r="I924" s="14" t="s">
        <v>809</v>
      </c>
      <c r="J924" s="14" t="s">
        <v>29</v>
      </c>
      <c r="K924" s="15" t="s">
        <v>30</v>
      </c>
      <c r="L924" s="14" t="s">
        <v>1327</v>
      </c>
      <c r="M924" s="14" t="s">
        <v>824</v>
      </c>
      <c r="N924" s="14" t="s">
        <v>140</v>
      </c>
      <c r="O924" s="14"/>
      <c r="P924" s="15" t="s">
        <v>1328</v>
      </c>
      <c r="Q924" s="16">
        <v>13899</v>
      </c>
      <c r="R924" s="17">
        <v>45.32</v>
      </c>
      <c r="S924" s="18">
        <v>8739.9884999999995</v>
      </c>
      <c r="T924" s="19" t="s">
        <v>36</v>
      </c>
      <c r="U924" s="20" t="s">
        <v>602</v>
      </c>
      <c r="V924" s="28">
        <v>41.5</v>
      </c>
      <c r="W924" s="22">
        <v>1</v>
      </c>
      <c r="X924" s="23"/>
    </row>
    <row r="925" spans="1:24" s="1" customFormat="1" ht="108" customHeight="1" x14ac:dyDescent="0.3">
      <c r="A925" s="11" t="s">
        <v>23</v>
      </c>
      <c r="B925" s="11" t="s">
        <v>1329</v>
      </c>
      <c r="C925" s="12" t="s">
        <v>1330</v>
      </c>
      <c r="D925" s="25"/>
      <c r="E925" s="39" t="str">
        <f>HYPERLINK("https://www.google.ru/search?q=3024898-601&amp;newwindow=1&amp;tbm=isch","Еще фото")</f>
        <v>Еще фото</v>
      </c>
      <c r="F925" s="13"/>
      <c r="G925" s="11" t="s">
        <v>808</v>
      </c>
      <c r="H925" s="11" t="s">
        <v>593</v>
      </c>
      <c r="I925" s="14" t="s">
        <v>809</v>
      </c>
      <c r="J925" s="14" t="s">
        <v>29</v>
      </c>
      <c r="K925" s="15" t="s">
        <v>30</v>
      </c>
      <c r="L925" s="14" t="s">
        <v>1331</v>
      </c>
      <c r="M925" s="14" t="s">
        <v>824</v>
      </c>
      <c r="N925" s="14" t="s">
        <v>140</v>
      </c>
      <c r="O925" s="14" t="s">
        <v>34</v>
      </c>
      <c r="P925" s="15" t="s">
        <v>1332</v>
      </c>
      <c r="Q925" s="16">
        <v>16999</v>
      </c>
      <c r="R925" s="17">
        <v>45.29</v>
      </c>
      <c r="S925" s="18">
        <v>10694.988499999999</v>
      </c>
      <c r="T925" s="19" t="s">
        <v>36</v>
      </c>
      <c r="U925" s="20" t="s">
        <v>604</v>
      </c>
      <c r="V925" s="22">
        <v>43</v>
      </c>
      <c r="W925" s="22">
        <v>1</v>
      </c>
      <c r="X925" s="23"/>
    </row>
    <row r="926" spans="1:24" s="1" customFormat="1" ht="108" customHeight="1" x14ac:dyDescent="0.3">
      <c r="A926" s="11" t="s">
        <v>23</v>
      </c>
      <c r="B926" s="11" t="s">
        <v>1305</v>
      </c>
      <c r="C926" s="12" t="s">
        <v>1333</v>
      </c>
      <c r="D926" s="25"/>
      <c r="E926" s="39" t="str">
        <f>HYPERLINK("https://www.google.ru/search?q=3024906-302&amp;newwindow=1&amp;tbm=isch","Еще фото")</f>
        <v>Еще фото</v>
      </c>
      <c r="F926" s="13"/>
      <c r="G926" s="11" t="s">
        <v>808</v>
      </c>
      <c r="H926" s="11" t="s">
        <v>593</v>
      </c>
      <c r="I926" s="14" t="s">
        <v>809</v>
      </c>
      <c r="J926" s="14" t="s">
        <v>29</v>
      </c>
      <c r="K926" s="15" t="s">
        <v>64</v>
      </c>
      <c r="L926" s="14" t="s">
        <v>1307</v>
      </c>
      <c r="M926" s="14" t="s">
        <v>824</v>
      </c>
      <c r="N926" s="14" t="s">
        <v>84</v>
      </c>
      <c r="O926" s="14" t="s">
        <v>34</v>
      </c>
      <c r="P926" s="15" t="s">
        <v>1308</v>
      </c>
      <c r="Q926" s="16">
        <v>16999</v>
      </c>
      <c r="R926" s="17">
        <v>45.29</v>
      </c>
      <c r="S926" s="18">
        <v>10694.988499999999</v>
      </c>
      <c r="T926" s="19" t="s">
        <v>36</v>
      </c>
      <c r="U926" s="20" t="s">
        <v>814</v>
      </c>
      <c r="V926" s="28">
        <v>36.5</v>
      </c>
      <c r="W926" s="22">
        <v>8</v>
      </c>
      <c r="X926" s="23"/>
    </row>
    <row r="927" spans="1:24" s="1" customFormat="1" ht="51.95" customHeight="1" x14ac:dyDescent="0.3">
      <c r="A927" s="11" t="s">
        <v>23</v>
      </c>
      <c r="B927" s="11" t="s">
        <v>903</v>
      </c>
      <c r="C927" s="12" t="s">
        <v>1334</v>
      </c>
      <c r="D927" s="59"/>
      <c r="E927" s="39" t="str">
        <f>HYPERLINK("https://www.google.ru/search?q=3026550-300&amp;newwindow=1&amp;tbm=isch","Еще фото")</f>
        <v>Еще фото</v>
      </c>
      <c r="F927" s="13"/>
      <c r="G927" s="11" t="s">
        <v>808</v>
      </c>
      <c r="H927" s="11" t="s">
        <v>593</v>
      </c>
      <c r="I927" s="14" t="s">
        <v>809</v>
      </c>
      <c r="J927" s="14" t="s">
        <v>29</v>
      </c>
      <c r="K927" s="15" t="s">
        <v>64</v>
      </c>
      <c r="L927" s="56" t="s">
        <v>905</v>
      </c>
      <c r="M927" s="14" t="s">
        <v>824</v>
      </c>
      <c r="N927" s="14" t="s">
        <v>50</v>
      </c>
      <c r="O927" s="14"/>
      <c r="P927" s="15" t="s">
        <v>1335</v>
      </c>
      <c r="Q927" s="16">
        <v>16999</v>
      </c>
      <c r="R927" s="17">
        <v>45.29</v>
      </c>
      <c r="S927" s="18">
        <v>10694.988499999999</v>
      </c>
      <c r="T927" s="19" t="s">
        <v>36</v>
      </c>
      <c r="U927" s="20" t="s">
        <v>813</v>
      </c>
      <c r="V927" s="28">
        <v>35.5</v>
      </c>
      <c r="W927" s="22">
        <v>1</v>
      </c>
      <c r="X927" s="23"/>
    </row>
    <row r="928" spans="1:24" s="1" customFormat="1" ht="60.95" customHeight="1" x14ac:dyDescent="0.3">
      <c r="A928" s="24" t="s">
        <v>23</v>
      </c>
      <c r="B928" s="24" t="s">
        <v>903</v>
      </c>
      <c r="C928" s="12" t="s">
        <v>1334</v>
      </c>
      <c r="D928" s="60"/>
      <c r="E928" s="39" t="str">
        <f>HYPERLINK("https://www.google.ru/search?q=3026550-300&amp;newwindow=1&amp;tbm=isch","Еще фото")</f>
        <v>Еще фото</v>
      </c>
      <c r="F928" s="13"/>
      <c r="G928" s="24" t="s">
        <v>808</v>
      </c>
      <c r="H928" s="24" t="s">
        <v>593</v>
      </c>
      <c r="I928" s="24" t="s">
        <v>809</v>
      </c>
      <c r="J928" s="14" t="s">
        <v>29</v>
      </c>
      <c r="K928" s="15" t="s">
        <v>64</v>
      </c>
      <c r="L928" s="58"/>
      <c r="M928" s="14" t="s">
        <v>824</v>
      </c>
      <c r="N928" s="14" t="s">
        <v>50</v>
      </c>
      <c r="O928" s="14"/>
      <c r="P928" s="15" t="s">
        <v>1335</v>
      </c>
      <c r="Q928" s="16">
        <v>16999</v>
      </c>
      <c r="R928" s="17">
        <v>45.29</v>
      </c>
      <c r="S928" s="18">
        <v>10694.988499999999</v>
      </c>
      <c r="T928" s="19" t="s">
        <v>36</v>
      </c>
      <c r="U928" s="20" t="s">
        <v>820</v>
      </c>
      <c r="V928" s="22">
        <v>36</v>
      </c>
      <c r="W928" s="22">
        <v>5</v>
      </c>
      <c r="X928" s="23"/>
    </row>
    <row r="929" spans="1:24" s="1" customFormat="1" ht="108" customHeight="1" x14ac:dyDescent="0.3">
      <c r="A929" s="11" t="s">
        <v>23</v>
      </c>
      <c r="B929" s="11" t="s">
        <v>1336</v>
      </c>
      <c r="C929" s="12" t="s">
        <v>1337</v>
      </c>
      <c r="D929" s="25"/>
      <c r="E929" s="39" t="str">
        <f>HYPERLINK("https://www.google.ru/search?q=3027344-001&amp;newwindow=1&amp;tbm=isch","Еще фото")</f>
        <v>Еще фото</v>
      </c>
      <c r="F929" s="13"/>
      <c r="G929" s="11" t="s">
        <v>808</v>
      </c>
      <c r="H929" s="11" t="s">
        <v>593</v>
      </c>
      <c r="I929" s="14" t="s">
        <v>809</v>
      </c>
      <c r="J929" s="14" t="s">
        <v>29</v>
      </c>
      <c r="K929" s="15" t="s">
        <v>30</v>
      </c>
      <c r="L929" s="14" t="s">
        <v>1338</v>
      </c>
      <c r="M929" s="14"/>
      <c r="N929" s="14" t="s">
        <v>33</v>
      </c>
      <c r="O929" s="14"/>
      <c r="P929" s="15" t="s">
        <v>1339</v>
      </c>
      <c r="Q929" s="16">
        <v>16999</v>
      </c>
      <c r="R929" s="17">
        <v>45.29</v>
      </c>
      <c r="S929" s="18">
        <v>10694.988499999999</v>
      </c>
      <c r="T929" s="19" t="s">
        <v>36</v>
      </c>
      <c r="U929" s="20" t="s">
        <v>599</v>
      </c>
      <c r="V929" s="28">
        <v>39.5</v>
      </c>
      <c r="W929" s="22">
        <v>1</v>
      </c>
      <c r="X929" s="23"/>
    </row>
    <row r="930" spans="1:24" s="1" customFormat="1" ht="108" customHeight="1" x14ac:dyDescent="0.3">
      <c r="A930" s="11" t="s">
        <v>23</v>
      </c>
      <c r="B930" s="11" t="s">
        <v>1340</v>
      </c>
      <c r="C930" s="12" t="s">
        <v>1341</v>
      </c>
      <c r="D930" s="25"/>
      <c r="E930" s="39" t="str">
        <f>HYPERLINK("https://www.google.ru/search?q=3025852-003&amp;newwindow=1&amp;tbm=isch","Еще фото")</f>
        <v>Еще фото</v>
      </c>
      <c r="F930" s="13"/>
      <c r="G930" s="11" t="s">
        <v>808</v>
      </c>
      <c r="H930" s="11" t="s">
        <v>593</v>
      </c>
      <c r="I930" s="14" t="s">
        <v>809</v>
      </c>
      <c r="J930" s="14" t="s">
        <v>840</v>
      </c>
      <c r="K930" s="15" t="s">
        <v>578</v>
      </c>
      <c r="L930" s="14" t="s">
        <v>1342</v>
      </c>
      <c r="M930" s="14" t="s">
        <v>1343</v>
      </c>
      <c r="N930" s="14" t="s">
        <v>33</v>
      </c>
      <c r="O930" s="14"/>
      <c r="P930" s="15" t="s">
        <v>1344</v>
      </c>
      <c r="Q930" s="16">
        <v>18999</v>
      </c>
      <c r="R930" s="17">
        <v>45.26</v>
      </c>
      <c r="S930" s="18">
        <v>11959.988499999999</v>
      </c>
      <c r="T930" s="19" t="s">
        <v>36</v>
      </c>
      <c r="U930" s="20" t="s">
        <v>1345</v>
      </c>
      <c r="V930" s="22">
        <v>36</v>
      </c>
      <c r="W930" s="22">
        <v>1</v>
      </c>
      <c r="X930" s="23"/>
    </row>
    <row r="931" spans="1:24" s="1" customFormat="1" ht="108" customHeight="1" x14ac:dyDescent="0.3">
      <c r="A931" s="11" t="s">
        <v>23</v>
      </c>
      <c r="B931" s="11" t="s">
        <v>1346</v>
      </c>
      <c r="C931" s="12" t="s">
        <v>1347</v>
      </c>
      <c r="D931" s="25"/>
      <c r="E931" s="39" t="str">
        <f>HYPERLINK("https://www.google.ru/search?q=3025852-501&amp;newwindow=1&amp;tbm=isch","Еще фото")</f>
        <v>Еще фото</v>
      </c>
      <c r="F931" s="13"/>
      <c r="G931" s="11" t="s">
        <v>808</v>
      </c>
      <c r="H931" s="11" t="s">
        <v>593</v>
      </c>
      <c r="I931" s="14" t="s">
        <v>809</v>
      </c>
      <c r="J931" s="14" t="s">
        <v>840</v>
      </c>
      <c r="K931" s="15" t="s">
        <v>578</v>
      </c>
      <c r="L931" s="14" t="s">
        <v>1342</v>
      </c>
      <c r="M931" s="14" t="s">
        <v>1343</v>
      </c>
      <c r="N931" s="14" t="s">
        <v>91</v>
      </c>
      <c r="O931" s="14"/>
      <c r="P931" s="15" t="s">
        <v>928</v>
      </c>
      <c r="Q931" s="16">
        <v>18999</v>
      </c>
      <c r="R931" s="17">
        <v>45.26</v>
      </c>
      <c r="S931" s="18">
        <v>11959.988499999999</v>
      </c>
      <c r="T931" s="19" t="s">
        <v>36</v>
      </c>
      <c r="U931" s="20" t="s">
        <v>601</v>
      </c>
      <c r="V931" s="22">
        <v>41</v>
      </c>
      <c r="W931" s="22">
        <v>1</v>
      </c>
      <c r="X931" s="23"/>
    </row>
    <row r="932" spans="1:24" s="1" customFormat="1" ht="108" customHeight="1" x14ac:dyDescent="0.3">
      <c r="A932" s="11" t="s">
        <v>23</v>
      </c>
      <c r="B932" s="11" t="s">
        <v>1348</v>
      </c>
      <c r="C932" s="12" t="s">
        <v>1349</v>
      </c>
      <c r="D932" s="25"/>
      <c r="E932" s="39" t="str">
        <f>HYPERLINK("https://www.google.ru/search?q=3026121-800&amp;newwindow=1&amp;tbm=isch","Еще фото")</f>
        <v>Еще фото</v>
      </c>
      <c r="F932" s="13"/>
      <c r="G932" s="11" t="s">
        <v>808</v>
      </c>
      <c r="H932" s="11" t="s">
        <v>593</v>
      </c>
      <c r="I932" s="14" t="s">
        <v>809</v>
      </c>
      <c r="J932" s="14" t="s">
        <v>29</v>
      </c>
      <c r="K932" s="15" t="s">
        <v>30</v>
      </c>
      <c r="L932" s="14" t="s">
        <v>1350</v>
      </c>
      <c r="M932" s="14" t="s">
        <v>824</v>
      </c>
      <c r="N932" s="14" t="s">
        <v>1351</v>
      </c>
      <c r="O932" s="14"/>
      <c r="P932" s="15" t="s">
        <v>1352</v>
      </c>
      <c r="Q932" s="16">
        <v>18999</v>
      </c>
      <c r="R932" s="17">
        <v>45.26</v>
      </c>
      <c r="S932" s="18">
        <v>11959.988499999999</v>
      </c>
      <c r="T932" s="19" t="s">
        <v>36</v>
      </c>
      <c r="U932" s="20" t="s">
        <v>602</v>
      </c>
      <c r="V932" s="28">
        <v>41.5</v>
      </c>
      <c r="W932" s="22">
        <v>1</v>
      </c>
      <c r="X932" s="23"/>
    </row>
    <row r="933" spans="1:24" s="1" customFormat="1" ht="108" customHeight="1" x14ac:dyDescent="0.3">
      <c r="A933" s="11" t="s">
        <v>23</v>
      </c>
      <c r="B933" s="11" t="s">
        <v>1353</v>
      </c>
      <c r="C933" s="12" t="s">
        <v>1354</v>
      </c>
      <c r="D933" s="25"/>
      <c r="E933" s="39" t="str">
        <f>HYPERLINK("https://www.google.ru/search?q=3028076-308&amp;newwindow=1&amp;tbm=isch","Еще фото")</f>
        <v>Еще фото</v>
      </c>
      <c r="F933" s="13"/>
      <c r="G933" s="11" t="s">
        <v>808</v>
      </c>
      <c r="H933" s="11" t="s">
        <v>593</v>
      </c>
      <c r="I933" s="14" t="s">
        <v>809</v>
      </c>
      <c r="J933" s="14" t="s">
        <v>29</v>
      </c>
      <c r="K933" s="15" t="s">
        <v>30</v>
      </c>
      <c r="L933" s="14" t="s">
        <v>1355</v>
      </c>
      <c r="M933" s="14"/>
      <c r="N933" s="14" t="s">
        <v>125</v>
      </c>
      <c r="O933" s="14"/>
      <c r="P933" s="15" t="s">
        <v>597</v>
      </c>
      <c r="Q933" s="16">
        <v>13699</v>
      </c>
      <c r="R933" s="17">
        <v>45.25</v>
      </c>
      <c r="S933" s="18">
        <v>8624.9884999999995</v>
      </c>
      <c r="T933" s="19" t="s">
        <v>36</v>
      </c>
      <c r="U933" s="20" t="s">
        <v>607</v>
      </c>
      <c r="V933" s="28">
        <v>44.5</v>
      </c>
      <c r="W933" s="22">
        <v>1</v>
      </c>
      <c r="X933" s="23"/>
    </row>
    <row r="934" spans="1:24" s="1" customFormat="1" ht="108" customHeight="1" x14ac:dyDescent="0.3">
      <c r="A934" s="11" t="s">
        <v>23</v>
      </c>
      <c r="B934" s="11" t="s">
        <v>1356</v>
      </c>
      <c r="C934" s="12" t="s">
        <v>1357</v>
      </c>
      <c r="D934" s="25"/>
      <c r="E934" s="39" t="str">
        <f>HYPERLINK("https://www.google.ru/search?q=3023555-601&amp;newwindow=1&amp;tbm=isch","Еще фото")</f>
        <v>Еще фото</v>
      </c>
      <c r="F934" s="13"/>
      <c r="G934" s="11" t="s">
        <v>808</v>
      </c>
      <c r="H934" s="11" t="s">
        <v>593</v>
      </c>
      <c r="I934" s="14" t="s">
        <v>809</v>
      </c>
      <c r="J934" s="14" t="s">
        <v>29</v>
      </c>
      <c r="K934" s="15" t="s">
        <v>64</v>
      </c>
      <c r="L934" s="14" t="s">
        <v>1358</v>
      </c>
      <c r="M934" s="14" t="s">
        <v>824</v>
      </c>
      <c r="N934" s="14" t="s">
        <v>57</v>
      </c>
      <c r="O934" s="14"/>
      <c r="P934" s="15" t="s">
        <v>1359</v>
      </c>
      <c r="Q934" s="16">
        <v>25199</v>
      </c>
      <c r="R934" s="17">
        <v>45.24</v>
      </c>
      <c r="S934" s="18">
        <v>15869.988499999998</v>
      </c>
      <c r="T934" s="19" t="s">
        <v>36</v>
      </c>
      <c r="U934" s="20" t="s">
        <v>813</v>
      </c>
      <c r="V934" s="28">
        <v>35.5</v>
      </c>
      <c r="W934" s="22">
        <v>1</v>
      </c>
      <c r="X934" s="23"/>
    </row>
    <row r="935" spans="1:24" s="1" customFormat="1" ht="108" customHeight="1" x14ac:dyDescent="0.3">
      <c r="A935" s="11" t="s">
        <v>23</v>
      </c>
      <c r="B935" s="11" t="s">
        <v>1360</v>
      </c>
      <c r="C935" s="12" t="s">
        <v>1361</v>
      </c>
      <c r="D935" s="25"/>
      <c r="E935" s="39" t="str">
        <f>HYPERLINK("https://www.google.ru/search?q=3026545-300&amp;newwindow=1&amp;tbm=isch","Еще фото")</f>
        <v>Еще фото</v>
      </c>
      <c r="F935" s="13"/>
      <c r="G935" s="11" t="s">
        <v>808</v>
      </c>
      <c r="H935" s="11" t="s">
        <v>593</v>
      </c>
      <c r="I935" s="14" t="s">
        <v>809</v>
      </c>
      <c r="J935" s="14" t="s">
        <v>29</v>
      </c>
      <c r="K935" s="15" t="s">
        <v>30</v>
      </c>
      <c r="L935" s="14" t="s">
        <v>1362</v>
      </c>
      <c r="M935" s="14" t="s">
        <v>824</v>
      </c>
      <c r="N935" s="14" t="s">
        <v>1070</v>
      </c>
      <c r="O935" s="14"/>
      <c r="P935" s="15" t="s">
        <v>1363</v>
      </c>
      <c r="Q935" s="16">
        <v>20999</v>
      </c>
      <c r="R935" s="17">
        <v>45.24</v>
      </c>
      <c r="S935" s="18">
        <v>13224.988499999999</v>
      </c>
      <c r="T935" s="19" t="s">
        <v>36</v>
      </c>
      <c r="U935" s="20" t="s">
        <v>602</v>
      </c>
      <c r="V935" s="28">
        <v>41.5</v>
      </c>
      <c r="W935" s="22">
        <v>1</v>
      </c>
      <c r="X935" s="23"/>
    </row>
    <row r="936" spans="1:24" s="1" customFormat="1" ht="108" customHeight="1" x14ac:dyDescent="0.3">
      <c r="A936" s="11" t="s">
        <v>23</v>
      </c>
      <c r="B936" s="11" t="s">
        <v>1364</v>
      </c>
      <c r="C936" s="12" t="s">
        <v>1365</v>
      </c>
      <c r="D936" s="25"/>
      <c r="E936" s="39" t="str">
        <f>HYPERLINK("https://www.google.ru/search?q=3027876-001&amp;newwindow=1&amp;tbm=isch","Еще фото")</f>
        <v>Еще фото</v>
      </c>
      <c r="F936" s="13"/>
      <c r="G936" s="11" t="s">
        <v>808</v>
      </c>
      <c r="H936" s="11" t="s">
        <v>593</v>
      </c>
      <c r="I936" s="14" t="s">
        <v>809</v>
      </c>
      <c r="J936" s="14" t="s">
        <v>212</v>
      </c>
      <c r="K936" s="15" t="s">
        <v>30</v>
      </c>
      <c r="L936" s="14" t="s">
        <v>1366</v>
      </c>
      <c r="M936" s="14"/>
      <c r="N936" s="14" t="s">
        <v>33</v>
      </c>
      <c r="O936" s="14"/>
      <c r="P936" s="15" t="s">
        <v>1367</v>
      </c>
      <c r="Q936" s="16">
        <v>19899</v>
      </c>
      <c r="R936" s="17">
        <v>45.22</v>
      </c>
      <c r="S936" s="18">
        <v>12534.988499999999</v>
      </c>
      <c r="T936" s="19" t="s">
        <v>36</v>
      </c>
      <c r="U936" s="20" t="s">
        <v>598</v>
      </c>
      <c r="V936" s="22">
        <v>39</v>
      </c>
      <c r="W936" s="22">
        <v>3</v>
      </c>
      <c r="X936" s="23"/>
    </row>
    <row r="937" spans="1:24" s="1" customFormat="1" ht="51.95" customHeight="1" x14ac:dyDescent="0.3">
      <c r="A937" s="11" t="s">
        <v>23</v>
      </c>
      <c r="B937" s="11" t="s">
        <v>1368</v>
      </c>
      <c r="C937" s="12" t="s">
        <v>1369</v>
      </c>
      <c r="D937" s="59"/>
      <c r="E937" s="39" t="str">
        <f>HYPERLINK("https://www.google.ru/search?q=3023559-002&amp;newwindow=1&amp;tbm=isch","Еще фото")</f>
        <v>Еще фото</v>
      </c>
      <c r="F937" s="13"/>
      <c r="G937" s="11" t="s">
        <v>808</v>
      </c>
      <c r="H937" s="11" t="s">
        <v>593</v>
      </c>
      <c r="I937" s="14" t="s">
        <v>809</v>
      </c>
      <c r="J937" s="14" t="s">
        <v>29</v>
      </c>
      <c r="K937" s="15" t="s">
        <v>64</v>
      </c>
      <c r="L937" s="56" t="s">
        <v>1370</v>
      </c>
      <c r="M937" s="14" t="s">
        <v>824</v>
      </c>
      <c r="N937" s="14" t="s">
        <v>33</v>
      </c>
      <c r="O937" s="14" t="s">
        <v>34</v>
      </c>
      <c r="P937" s="15" t="s">
        <v>1371</v>
      </c>
      <c r="Q937" s="16">
        <v>13690</v>
      </c>
      <c r="R937" s="17">
        <v>45.22</v>
      </c>
      <c r="S937" s="18">
        <v>8624.9884999999995</v>
      </c>
      <c r="T937" s="19" t="s">
        <v>36</v>
      </c>
      <c r="U937" s="20" t="s">
        <v>813</v>
      </c>
      <c r="V937" s="28">
        <v>35.5</v>
      </c>
      <c r="W937" s="22">
        <v>1</v>
      </c>
      <c r="X937" s="23"/>
    </row>
    <row r="938" spans="1:24" s="1" customFormat="1" ht="60.95" customHeight="1" x14ac:dyDescent="0.3">
      <c r="A938" s="24" t="s">
        <v>23</v>
      </c>
      <c r="B938" s="24" t="s">
        <v>1368</v>
      </c>
      <c r="C938" s="12" t="s">
        <v>1369</v>
      </c>
      <c r="D938" s="60"/>
      <c r="E938" s="39" t="str">
        <f>HYPERLINK("https://www.google.ru/search?q=3023559-002&amp;newwindow=1&amp;tbm=isch","Еще фото")</f>
        <v>Еще фото</v>
      </c>
      <c r="F938" s="13"/>
      <c r="G938" s="24" t="s">
        <v>808</v>
      </c>
      <c r="H938" s="24" t="s">
        <v>593</v>
      </c>
      <c r="I938" s="24" t="s">
        <v>809</v>
      </c>
      <c r="J938" s="14" t="s">
        <v>29</v>
      </c>
      <c r="K938" s="15" t="s">
        <v>64</v>
      </c>
      <c r="L938" s="58"/>
      <c r="M938" s="14" t="s">
        <v>824</v>
      </c>
      <c r="N938" s="14" t="s">
        <v>33</v>
      </c>
      <c r="O938" s="14" t="s">
        <v>34</v>
      </c>
      <c r="P938" s="15" t="s">
        <v>1371</v>
      </c>
      <c r="Q938" s="16">
        <v>13690</v>
      </c>
      <c r="R938" s="17">
        <v>45.22</v>
      </c>
      <c r="S938" s="18">
        <v>8624.9884999999995</v>
      </c>
      <c r="T938" s="19" t="s">
        <v>36</v>
      </c>
      <c r="U938" s="20" t="s">
        <v>814</v>
      </c>
      <c r="V938" s="28">
        <v>36.5</v>
      </c>
      <c r="W938" s="22">
        <v>1</v>
      </c>
      <c r="X938" s="23"/>
    </row>
    <row r="939" spans="1:24" s="1" customFormat="1" ht="51.95" customHeight="1" x14ac:dyDescent="0.3">
      <c r="A939" s="11" t="s">
        <v>23</v>
      </c>
      <c r="B939" s="11" t="s">
        <v>1372</v>
      </c>
      <c r="C939" s="12" t="s">
        <v>1373</v>
      </c>
      <c r="D939" s="59"/>
      <c r="E939" s="39" t="str">
        <f>HYPERLINK("https://www.google.ru/search?q=3026582-201&amp;newwindow=1&amp;tbm=isch","Еще фото")</f>
        <v>Еще фото</v>
      </c>
      <c r="F939" s="13"/>
      <c r="G939" s="11" t="s">
        <v>808</v>
      </c>
      <c r="H939" s="11" t="s">
        <v>593</v>
      </c>
      <c r="I939" s="14" t="s">
        <v>809</v>
      </c>
      <c r="J939" s="14" t="s">
        <v>29</v>
      </c>
      <c r="K939" s="15" t="s">
        <v>30</v>
      </c>
      <c r="L939" s="56" t="s">
        <v>1012</v>
      </c>
      <c r="M939" s="14" t="s">
        <v>824</v>
      </c>
      <c r="N939" s="14" t="s">
        <v>215</v>
      </c>
      <c r="O939" s="14"/>
      <c r="P939" s="15" t="s">
        <v>1014</v>
      </c>
      <c r="Q939" s="16">
        <v>21899</v>
      </c>
      <c r="R939" s="17">
        <v>45.2</v>
      </c>
      <c r="S939" s="18">
        <v>13799.988499999999</v>
      </c>
      <c r="T939" s="19" t="s">
        <v>36</v>
      </c>
      <c r="U939" s="20" t="s">
        <v>600</v>
      </c>
      <c r="V939" s="22">
        <v>40</v>
      </c>
      <c r="W939" s="22">
        <v>1</v>
      </c>
      <c r="X939" s="23"/>
    </row>
    <row r="940" spans="1:24" s="1" customFormat="1" ht="60.95" customHeight="1" x14ac:dyDescent="0.3">
      <c r="A940" s="24" t="s">
        <v>23</v>
      </c>
      <c r="B940" s="24" t="s">
        <v>1372</v>
      </c>
      <c r="C940" s="12" t="s">
        <v>1373</v>
      </c>
      <c r="D940" s="60"/>
      <c r="E940" s="39" t="str">
        <f>HYPERLINK("https://www.google.ru/search?q=3026582-201&amp;newwindow=1&amp;tbm=isch","Еще фото")</f>
        <v>Еще фото</v>
      </c>
      <c r="F940" s="13"/>
      <c r="G940" s="24" t="s">
        <v>808</v>
      </c>
      <c r="H940" s="24" t="s">
        <v>593</v>
      </c>
      <c r="I940" s="24" t="s">
        <v>809</v>
      </c>
      <c r="J940" s="14" t="s">
        <v>29</v>
      </c>
      <c r="K940" s="15" t="s">
        <v>30</v>
      </c>
      <c r="L940" s="58"/>
      <c r="M940" s="14" t="s">
        <v>824</v>
      </c>
      <c r="N940" s="14" t="s">
        <v>215</v>
      </c>
      <c r="O940" s="14"/>
      <c r="P940" s="15" t="s">
        <v>1014</v>
      </c>
      <c r="Q940" s="16">
        <v>21899</v>
      </c>
      <c r="R940" s="17">
        <v>45.2</v>
      </c>
      <c r="S940" s="18">
        <v>13799.988499999999</v>
      </c>
      <c r="T940" s="19" t="s">
        <v>36</v>
      </c>
      <c r="U940" s="20" t="s">
        <v>605</v>
      </c>
      <c r="V940" s="28">
        <v>43.5</v>
      </c>
      <c r="W940" s="22">
        <v>1</v>
      </c>
      <c r="X940" s="23"/>
    </row>
    <row r="941" spans="1:24" s="1" customFormat="1" ht="51.95" customHeight="1" x14ac:dyDescent="0.3">
      <c r="A941" s="11" t="s">
        <v>23</v>
      </c>
      <c r="B941" s="11" t="s">
        <v>1374</v>
      </c>
      <c r="C941" s="12" t="s">
        <v>1375</v>
      </c>
      <c r="D941" s="59"/>
      <c r="E941" s="39" t="str">
        <f>HYPERLINK("https://www.google.ru/search?q=3026546-300&amp;newwindow=1&amp;tbm=isch","Еще фото")</f>
        <v>Еще фото</v>
      </c>
      <c r="F941" s="13"/>
      <c r="G941" s="11" t="s">
        <v>808</v>
      </c>
      <c r="H941" s="11" t="s">
        <v>593</v>
      </c>
      <c r="I941" s="14" t="s">
        <v>809</v>
      </c>
      <c r="J941" s="14" t="s">
        <v>29</v>
      </c>
      <c r="K941" s="15" t="s">
        <v>30</v>
      </c>
      <c r="L941" s="56" t="s">
        <v>1376</v>
      </c>
      <c r="M941" s="14" t="s">
        <v>836</v>
      </c>
      <c r="N941" s="14" t="s">
        <v>1377</v>
      </c>
      <c r="O941" s="14"/>
      <c r="P941" s="15" t="s">
        <v>1378</v>
      </c>
      <c r="Q941" s="16">
        <v>24999</v>
      </c>
      <c r="R941" s="17">
        <v>45.2</v>
      </c>
      <c r="S941" s="18">
        <v>15754.988499999998</v>
      </c>
      <c r="T941" s="19" t="s">
        <v>36</v>
      </c>
      <c r="U941" s="20" t="s">
        <v>600</v>
      </c>
      <c r="V941" s="22">
        <v>40</v>
      </c>
      <c r="W941" s="22">
        <v>1</v>
      </c>
      <c r="X941" s="23"/>
    </row>
    <row r="942" spans="1:24" s="1" customFormat="1" ht="60.95" customHeight="1" x14ac:dyDescent="0.3">
      <c r="A942" s="24" t="s">
        <v>23</v>
      </c>
      <c r="B942" s="24" t="s">
        <v>1374</v>
      </c>
      <c r="C942" s="12" t="s">
        <v>1375</v>
      </c>
      <c r="D942" s="60"/>
      <c r="E942" s="39" t="str">
        <f>HYPERLINK("https://www.google.ru/search?q=3026546-300&amp;newwindow=1&amp;tbm=isch","Еще фото")</f>
        <v>Еще фото</v>
      </c>
      <c r="F942" s="13"/>
      <c r="G942" s="24" t="s">
        <v>808</v>
      </c>
      <c r="H942" s="24" t="s">
        <v>593</v>
      </c>
      <c r="I942" s="24" t="s">
        <v>809</v>
      </c>
      <c r="J942" s="14" t="s">
        <v>29</v>
      </c>
      <c r="K942" s="15" t="s">
        <v>30</v>
      </c>
      <c r="L942" s="58"/>
      <c r="M942" s="14" t="s">
        <v>836</v>
      </c>
      <c r="N942" s="14" t="s">
        <v>1377</v>
      </c>
      <c r="O942" s="14"/>
      <c r="P942" s="15" t="s">
        <v>1378</v>
      </c>
      <c r="Q942" s="16">
        <v>24999</v>
      </c>
      <c r="R942" s="17">
        <v>45.2</v>
      </c>
      <c r="S942" s="18">
        <v>15754.988499999998</v>
      </c>
      <c r="T942" s="19" t="s">
        <v>36</v>
      </c>
      <c r="U942" s="20" t="s">
        <v>602</v>
      </c>
      <c r="V942" s="28">
        <v>41.5</v>
      </c>
      <c r="W942" s="22">
        <v>1</v>
      </c>
      <c r="X942" s="23"/>
    </row>
    <row r="943" spans="1:24" s="1" customFormat="1" ht="51.95" customHeight="1" x14ac:dyDescent="0.3">
      <c r="A943" s="11" t="s">
        <v>23</v>
      </c>
      <c r="B943" s="11" t="s">
        <v>1379</v>
      </c>
      <c r="C943" s="12" t="s">
        <v>1380</v>
      </c>
      <c r="D943" s="59"/>
      <c r="E943" s="39" t="str">
        <f>HYPERLINK("https://www.google.ru/search?q=3026729-302&amp;newwindow=1&amp;tbm=isch","Еще фото")</f>
        <v>Еще фото</v>
      </c>
      <c r="F943" s="13"/>
      <c r="G943" s="11" t="s">
        <v>808</v>
      </c>
      <c r="H943" s="11" t="s">
        <v>593</v>
      </c>
      <c r="I943" s="14" t="s">
        <v>809</v>
      </c>
      <c r="J943" s="14" t="s">
        <v>29</v>
      </c>
      <c r="K943" s="15" t="s">
        <v>30</v>
      </c>
      <c r="L943" s="56" t="s">
        <v>1381</v>
      </c>
      <c r="M943" s="14" t="s">
        <v>824</v>
      </c>
      <c r="N943" s="14" t="s">
        <v>377</v>
      </c>
      <c r="O943" s="14"/>
      <c r="P943" s="15" t="s">
        <v>1382</v>
      </c>
      <c r="Q943" s="16">
        <v>24999</v>
      </c>
      <c r="R943" s="17">
        <v>45.2</v>
      </c>
      <c r="S943" s="18">
        <v>15754.988499999998</v>
      </c>
      <c r="T943" s="19" t="s">
        <v>36</v>
      </c>
      <c r="U943" s="20" t="s">
        <v>599</v>
      </c>
      <c r="V943" s="28">
        <v>39.5</v>
      </c>
      <c r="W943" s="22">
        <v>1</v>
      </c>
      <c r="X943" s="23"/>
    </row>
    <row r="944" spans="1:24" s="1" customFormat="1" ht="60.95" customHeight="1" x14ac:dyDescent="0.3">
      <c r="A944" s="24" t="s">
        <v>23</v>
      </c>
      <c r="B944" s="24" t="s">
        <v>1379</v>
      </c>
      <c r="C944" s="12" t="s">
        <v>1380</v>
      </c>
      <c r="D944" s="60"/>
      <c r="E944" s="39" t="str">
        <f>HYPERLINK("https://www.google.ru/search?q=3026729-302&amp;newwindow=1&amp;tbm=isch","Еще фото")</f>
        <v>Еще фото</v>
      </c>
      <c r="F944" s="13"/>
      <c r="G944" s="24" t="s">
        <v>808</v>
      </c>
      <c r="H944" s="24" t="s">
        <v>593</v>
      </c>
      <c r="I944" s="24" t="s">
        <v>809</v>
      </c>
      <c r="J944" s="14" t="s">
        <v>29</v>
      </c>
      <c r="K944" s="15" t="s">
        <v>30</v>
      </c>
      <c r="L944" s="58"/>
      <c r="M944" s="14" t="s">
        <v>824</v>
      </c>
      <c r="N944" s="14" t="s">
        <v>377</v>
      </c>
      <c r="O944" s="14"/>
      <c r="P944" s="15" t="s">
        <v>1382</v>
      </c>
      <c r="Q944" s="16">
        <v>24999</v>
      </c>
      <c r="R944" s="17">
        <v>45.2</v>
      </c>
      <c r="S944" s="18">
        <v>15754.988499999998</v>
      </c>
      <c r="T944" s="19" t="s">
        <v>36</v>
      </c>
      <c r="U944" s="20" t="s">
        <v>600</v>
      </c>
      <c r="V944" s="22">
        <v>40</v>
      </c>
      <c r="W944" s="22">
        <v>1</v>
      </c>
      <c r="X944" s="23"/>
    </row>
    <row r="945" spans="1:24" s="1" customFormat="1" ht="108" customHeight="1" x14ac:dyDescent="0.3">
      <c r="A945" s="11" t="s">
        <v>23</v>
      </c>
      <c r="B945" s="11" t="s">
        <v>1383</v>
      </c>
      <c r="C945" s="12" t="s">
        <v>1384</v>
      </c>
      <c r="D945" s="25"/>
      <c r="E945" s="39" t="str">
        <f>HYPERLINK("https://www.google.ru/search?q=3026545-005&amp;newwindow=1&amp;tbm=isch","Еще фото")</f>
        <v>Еще фото</v>
      </c>
      <c r="F945" s="13"/>
      <c r="G945" s="11" t="s">
        <v>808</v>
      </c>
      <c r="H945" s="11" t="s">
        <v>593</v>
      </c>
      <c r="I945" s="14" t="s">
        <v>809</v>
      </c>
      <c r="J945" s="14" t="s">
        <v>29</v>
      </c>
      <c r="K945" s="15" t="s">
        <v>30</v>
      </c>
      <c r="L945" s="14" t="s">
        <v>1362</v>
      </c>
      <c r="M945" s="14" t="s">
        <v>824</v>
      </c>
      <c r="N945" s="14" t="s">
        <v>1385</v>
      </c>
      <c r="O945" s="14"/>
      <c r="P945" s="15" t="s">
        <v>1386</v>
      </c>
      <c r="Q945" s="16">
        <v>20799</v>
      </c>
      <c r="R945" s="17">
        <v>45.19</v>
      </c>
      <c r="S945" s="18">
        <v>13109.988499999999</v>
      </c>
      <c r="T945" s="19" t="s">
        <v>36</v>
      </c>
      <c r="U945" s="20" t="s">
        <v>599</v>
      </c>
      <c r="V945" s="28">
        <v>39.5</v>
      </c>
      <c r="W945" s="22">
        <v>1</v>
      </c>
      <c r="X945" s="23"/>
    </row>
    <row r="946" spans="1:24" s="1" customFormat="1" ht="108" customHeight="1" x14ac:dyDescent="0.3">
      <c r="A946" s="11" t="s">
        <v>23</v>
      </c>
      <c r="B946" s="11" t="s">
        <v>1387</v>
      </c>
      <c r="C946" s="12" t="s">
        <v>1388</v>
      </c>
      <c r="D946" s="25"/>
      <c r="E946" s="39" t="str">
        <f>HYPERLINK("https://www.google.ru/search?q=3025522-400&amp;newwindow=1&amp;tbm=isch","Еще фото")</f>
        <v>Еще фото</v>
      </c>
      <c r="F946" s="13"/>
      <c r="G946" s="11" t="s">
        <v>808</v>
      </c>
      <c r="H946" s="11" t="s">
        <v>593</v>
      </c>
      <c r="I946" s="14" t="s">
        <v>809</v>
      </c>
      <c r="J946" s="14" t="s">
        <v>29</v>
      </c>
      <c r="K946" s="15" t="s">
        <v>578</v>
      </c>
      <c r="L946" s="14" t="s">
        <v>1004</v>
      </c>
      <c r="M946" s="14" t="s">
        <v>836</v>
      </c>
      <c r="N946" s="14" t="s">
        <v>91</v>
      </c>
      <c r="O946" s="14"/>
      <c r="P946" s="15" t="s">
        <v>1005</v>
      </c>
      <c r="Q946" s="16">
        <v>26999</v>
      </c>
      <c r="R946" s="17">
        <v>45.18</v>
      </c>
      <c r="S946" s="18">
        <v>17019.988499999999</v>
      </c>
      <c r="T946" s="19" t="s">
        <v>36</v>
      </c>
      <c r="U946" s="20" t="s">
        <v>945</v>
      </c>
      <c r="V946" s="22">
        <v>41</v>
      </c>
      <c r="W946" s="22">
        <v>1</v>
      </c>
      <c r="X946" s="23"/>
    </row>
    <row r="947" spans="1:24" s="1" customFormat="1" ht="108" customHeight="1" x14ac:dyDescent="0.3">
      <c r="A947" s="11" t="s">
        <v>23</v>
      </c>
      <c r="B947" s="11" t="s">
        <v>993</v>
      </c>
      <c r="C947" s="12" t="s">
        <v>1389</v>
      </c>
      <c r="D947" s="25"/>
      <c r="E947" s="39" t="str">
        <f>HYPERLINK("https://www.google.ru/search?q=3027585-348&amp;newwindow=1&amp;tbm=isch","Еще фото")</f>
        <v>Еще фото</v>
      </c>
      <c r="F947" s="13"/>
      <c r="G947" s="11" t="s">
        <v>808</v>
      </c>
      <c r="H947" s="11" t="s">
        <v>593</v>
      </c>
      <c r="I947" s="14" t="s">
        <v>809</v>
      </c>
      <c r="J947" s="14" t="s">
        <v>29</v>
      </c>
      <c r="K947" s="15" t="s">
        <v>30</v>
      </c>
      <c r="L947" s="14" t="s">
        <v>995</v>
      </c>
      <c r="M947" s="14"/>
      <c r="N947" s="14" t="s">
        <v>125</v>
      </c>
      <c r="O947" s="14"/>
      <c r="P947" s="15" t="s">
        <v>996</v>
      </c>
      <c r="Q947" s="16">
        <v>16599</v>
      </c>
      <c r="R947" s="17">
        <v>45.18</v>
      </c>
      <c r="S947" s="18">
        <v>10464.988499999999</v>
      </c>
      <c r="T947" s="19" t="s">
        <v>36</v>
      </c>
      <c r="U947" s="20" t="s">
        <v>598</v>
      </c>
      <c r="V947" s="22">
        <v>39</v>
      </c>
      <c r="W947" s="22">
        <v>2</v>
      </c>
      <c r="X947" s="23"/>
    </row>
    <row r="948" spans="1:24" s="1" customFormat="1" ht="51.95" customHeight="1" x14ac:dyDescent="0.3">
      <c r="A948" s="11" t="s">
        <v>23</v>
      </c>
      <c r="B948" s="11" t="s">
        <v>1390</v>
      </c>
      <c r="C948" s="12" t="s">
        <v>1391</v>
      </c>
      <c r="D948" s="59"/>
      <c r="E948" s="39" t="str">
        <f>HYPERLINK("https://www.google.ru/search?q=3028459-001&amp;newwindow=1&amp;tbm=isch","Еще фото")</f>
        <v>Еще фото</v>
      </c>
      <c r="F948" s="13"/>
      <c r="G948" s="11" t="s">
        <v>808</v>
      </c>
      <c r="H948" s="11" t="s">
        <v>593</v>
      </c>
      <c r="I948" s="14" t="s">
        <v>809</v>
      </c>
      <c r="J948" s="14" t="s">
        <v>892</v>
      </c>
      <c r="K948" s="15" t="s">
        <v>578</v>
      </c>
      <c r="L948" s="56" t="s">
        <v>1392</v>
      </c>
      <c r="M948" s="14"/>
      <c r="N948" s="14" t="s">
        <v>788</v>
      </c>
      <c r="O948" s="14"/>
      <c r="P948" s="15" t="s">
        <v>1393</v>
      </c>
      <c r="Q948" s="16">
        <v>16599</v>
      </c>
      <c r="R948" s="17">
        <v>45.18</v>
      </c>
      <c r="S948" s="18">
        <v>10464.988499999999</v>
      </c>
      <c r="T948" s="19" t="s">
        <v>36</v>
      </c>
      <c r="U948" s="20" t="s">
        <v>601</v>
      </c>
      <c r="V948" s="22">
        <v>41</v>
      </c>
      <c r="W948" s="22">
        <v>1</v>
      </c>
      <c r="X948" s="23"/>
    </row>
    <row r="949" spans="1:24" s="1" customFormat="1" ht="60.95" customHeight="1" x14ac:dyDescent="0.3">
      <c r="A949" s="24" t="s">
        <v>23</v>
      </c>
      <c r="B949" s="24" t="s">
        <v>1390</v>
      </c>
      <c r="C949" s="12" t="s">
        <v>1391</v>
      </c>
      <c r="D949" s="60"/>
      <c r="E949" s="39" t="str">
        <f>HYPERLINK("https://www.google.ru/search?q=3028459-001&amp;newwindow=1&amp;tbm=isch","Еще фото")</f>
        <v>Еще фото</v>
      </c>
      <c r="F949" s="13"/>
      <c r="G949" s="24" t="s">
        <v>808</v>
      </c>
      <c r="H949" s="24" t="s">
        <v>593</v>
      </c>
      <c r="I949" s="24" t="s">
        <v>809</v>
      </c>
      <c r="J949" s="14" t="s">
        <v>892</v>
      </c>
      <c r="K949" s="15" t="s">
        <v>578</v>
      </c>
      <c r="L949" s="58"/>
      <c r="M949" s="14"/>
      <c r="N949" s="14" t="s">
        <v>788</v>
      </c>
      <c r="O949" s="14"/>
      <c r="P949" s="15" t="s">
        <v>1393</v>
      </c>
      <c r="Q949" s="16">
        <v>16599</v>
      </c>
      <c r="R949" s="17">
        <v>45.18</v>
      </c>
      <c r="S949" s="18">
        <v>10464.988499999999</v>
      </c>
      <c r="T949" s="19" t="s">
        <v>36</v>
      </c>
      <c r="U949" s="20" t="s">
        <v>603</v>
      </c>
      <c r="V949" s="22">
        <v>42</v>
      </c>
      <c r="W949" s="22">
        <v>1</v>
      </c>
      <c r="X949" s="23"/>
    </row>
    <row r="950" spans="1:24" s="1" customFormat="1" ht="108" customHeight="1" x14ac:dyDescent="0.3">
      <c r="A950" s="11" t="s">
        <v>23</v>
      </c>
      <c r="B950" s="11" t="s">
        <v>1394</v>
      </c>
      <c r="C950" s="12" t="s">
        <v>1395</v>
      </c>
      <c r="D950" s="25"/>
      <c r="E950" s="39" t="str">
        <f>HYPERLINK("https://www.google.ru/search?q=3025437-100&amp;newwindow=1&amp;tbm=isch","Еще фото")</f>
        <v>Еще фото</v>
      </c>
      <c r="F950" s="13"/>
      <c r="G950" s="11" t="s">
        <v>808</v>
      </c>
      <c r="H950" s="11" t="s">
        <v>593</v>
      </c>
      <c r="I950" s="14" t="s">
        <v>809</v>
      </c>
      <c r="J950" s="14" t="s">
        <v>29</v>
      </c>
      <c r="K950" s="15" t="s">
        <v>578</v>
      </c>
      <c r="L950" s="14" t="s">
        <v>1396</v>
      </c>
      <c r="M950" s="14" t="s">
        <v>824</v>
      </c>
      <c r="N950" s="14" t="s">
        <v>74</v>
      </c>
      <c r="O950" s="14"/>
      <c r="P950" s="15" t="s">
        <v>846</v>
      </c>
      <c r="Q950" s="16">
        <v>22799</v>
      </c>
      <c r="R950" s="17">
        <v>45.17</v>
      </c>
      <c r="S950" s="18">
        <v>14374.988499999999</v>
      </c>
      <c r="T950" s="19" t="s">
        <v>36</v>
      </c>
      <c r="U950" s="20" t="s">
        <v>863</v>
      </c>
      <c r="V950" s="28">
        <v>36.5</v>
      </c>
      <c r="W950" s="22">
        <v>1</v>
      </c>
      <c r="X950" s="23"/>
    </row>
    <row r="951" spans="1:24" s="1" customFormat="1" ht="108" customHeight="1" x14ac:dyDescent="0.3">
      <c r="A951" s="11" t="s">
        <v>23</v>
      </c>
      <c r="B951" s="11" t="s">
        <v>1397</v>
      </c>
      <c r="C951" s="12" t="s">
        <v>1398</v>
      </c>
      <c r="D951" s="25"/>
      <c r="E951" s="39" t="str">
        <f>HYPERLINK("https://www.google.ru/search?q=3024480-001&amp;newwindow=1&amp;tbm=isch","Еще фото")</f>
        <v>Еще фото</v>
      </c>
      <c r="F951" s="13"/>
      <c r="G951" s="11" t="s">
        <v>808</v>
      </c>
      <c r="H951" s="11" t="s">
        <v>593</v>
      </c>
      <c r="I951" s="14" t="s">
        <v>809</v>
      </c>
      <c r="J951" s="14" t="s">
        <v>29</v>
      </c>
      <c r="K951" s="15" t="s">
        <v>64</v>
      </c>
      <c r="L951" s="14" t="s">
        <v>1399</v>
      </c>
      <c r="M951" s="14" t="s">
        <v>824</v>
      </c>
      <c r="N951" s="14" t="s">
        <v>33</v>
      </c>
      <c r="O951" s="14" t="s">
        <v>34</v>
      </c>
      <c r="P951" s="15" t="s">
        <v>1400</v>
      </c>
      <c r="Q951" s="16">
        <v>25899</v>
      </c>
      <c r="R951" s="17">
        <v>45.17</v>
      </c>
      <c r="S951" s="18">
        <v>16329.988499999998</v>
      </c>
      <c r="T951" s="19" t="s">
        <v>36</v>
      </c>
      <c r="U951" s="20" t="s">
        <v>813</v>
      </c>
      <c r="V951" s="28">
        <v>35.5</v>
      </c>
      <c r="W951" s="22">
        <v>2</v>
      </c>
      <c r="X951" s="23"/>
    </row>
    <row r="952" spans="1:24" s="1" customFormat="1" ht="108" customHeight="1" x14ac:dyDescent="0.3">
      <c r="A952" s="11" t="s">
        <v>23</v>
      </c>
      <c r="B952" s="11" t="s">
        <v>1078</v>
      </c>
      <c r="C952" s="12" t="s">
        <v>1401</v>
      </c>
      <c r="D952" s="25"/>
      <c r="E952" s="39" t="str">
        <f>HYPERLINK("https://www.google.ru/search?q=3027586-014&amp;newwindow=1&amp;tbm=isch","Еще фото")</f>
        <v>Еще фото</v>
      </c>
      <c r="F952" s="13"/>
      <c r="G952" s="11" t="s">
        <v>808</v>
      </c>
      <c r="H952" s="11" t="s">
        <v>593</v>
      </c>
      <c r="I952" s="14" t="s">
        <v>809</v>
      </c>
      <c r="J952" s="14" t="s">
        <v>29</v>
      </c>
      <c r="K952" s="15" t="s">
        <v>64</v>
      </c>
      <c r="L952" s="14" t="s">
        <v>1080</v>
      </c>
      <c r="M952" s="14"/>
      <c r="N952" s="14" t="s">
        <v>84</v>
      </c>
      <c r="O952" s="14"/>
      <c r="P952" s="15" t="s">
        <v>996</v>
      </c>
      <c r="Q952" s="16">
        <v>15499</v>
      </c>
      <c r="R952" s="17">
        <v>45.16</v>
      </c>
      <c r="S952" s="18">
        <v>9774.9884999999995</v>
      </c>
      <c r="T952" s="19" t="s">
        <v>36</v>
      </c>
      <c r="U952" s="20" t="s">
        <v>598</v>
      </c>
      <c r="V952" s="22">
        <v>37</v>
      </c>
      <c r="W952" s="22">
        <v>1</v>
      </c>
      <c r="X952" s="23"/>
    </row>
    <row r="953" spans="1:24" s="1" customFormat="1" ht="51.95" customHeight="1" x14ac:dyDescent="0.3">
      <c r="A953" s="11" t="s">
        <v>23</v>
      </c>
      <c r="B953" s="11" t="s">
        <v>1402</v>
      </c>
      <c r="C953" s="12" t="s">
        <v>1403</v>
      </c>
      <c r="D953" s="59"/>
      <c r="E953" s="39" t="str">
        <f>HYPERLINK("https://www.google.ru/search?q=3025424-002&amp;newwindow=1&amp;tbm=isch","Еще фото")</f>
        <v>Еще фото</v>
      </c>
      <c r="F953" s="13"/>
      <c r="G953" s="11" t="s">
        <v>808</v>
      </c>
      <c r="H953" s="11" t="s">
        <v>593</v>
      </c>
      <c r="I953" s="14" t="s">
        <v>809</v>
      </c>
      <c r="J953" s="14" t="s">
        <v>29</v>
      </c>
      <c r="K953" s="15" t="s">
        <v>30</v>
      </c>
      <c r="L953" s="56" t="s">
        <v>1148</v>
      </c>
      <c r="M953" s="14" t="s">
        <v>811</v>
      </c>
      <c r="N953" s="14" t="s">
        <v>33</v>
      </c>
      <c r="O953" s="14"/>
      <c r="P953" s="15" t="s">
        <v>1150</v>
      </c>
      <c r="Q953" s="16">
        <v>9299</v>
      </c>
      <c r="R953" s="17">
        <v>45.16</v>
      </c>
      <c r="S953" s="18">
        <v>5864.9884999999995</v>
      </c>
      <c r="T953" s="19" t="s">
        <v>36</v>
      </c>
      <c r="U953" s="20" t="s">
        <v>599</v>
      </c>
      <c r="V953" s="28">
        <v>39.5</v>
      </c>
      <c r="W953" s="22">
        <v>1</v>
      </c>
      <c r="X953" s="23"/>
    </row>
    <row r="954" spans="1:24" s="1" customFormat="1" ht="60.95" customHeight="1" x14ac:dyDescent="0.3">
      <c r="A954" s="24" t="s">
        <v>23</v>
      </c>
      <c r="B954" s="24" t="s">
        <v>1402</v>
      </c>
      <c r="C954" s="12" t="s">
        <v>1403</v>
      </c>
      <c r="D954" s="60"/>
      <c r="E954" s="39" t="str">
        <f>HYPERLINK("https://www.google.ru/search?q=3025424-002&amp;newwindow=1&amp;tbm=isch","Еще фото")</f>
        <v>Еще фото</v>
      </c>
      <c r="F954" s="13"/>
      <c r="G954" s="24" t="s">
        <v>808</v>
      </c>
      <c r="H954" s="24" t="s">
        <v>593</v>
      </c>
      <c r="I954" s="24" t="s">
        <v>809</v>
      </c>
      <c r="J954" s="14" t="s">
        <v>29</v>
      </c>
      <c r="K954" s="15" t="s">
        <v>30</v>
      </c>
      <c r="L954" s="58"/>
      <c r="M954" s="14" t="s">
        <v>811</v>
      </c>
      <c r="N954" s="14" t="s">
        <v>33</v>
      </c>
      <c r="O954" s="14"/>
      <c r="P954" s="15" t="s">
        <v>1150</v>
      </c>
      <c r="Q954" s="16">
        <v>9299</v>
      </c>
      <c r="R954" s="17">
        <v>45.16</v>
      </c>
      <c r="S954" s="18">
        <v>5864.9884999999995</v>
      </c>
      <c r="T954" s="19" t="s">
        <v>36</v>
      </c>
      <c r="U954" s="20" t="s">
        <v>600</v>
      </c>
      <c r="V954" s="22">
        <v>40</v>
      </c>
      <c r="W954" s="22">
        <v>2</v>
      </c>
      <c r="X954" s="23"/>
    </row>
    <row r="955" spans="1:24" s="1" customFormat="1" ht="108" customHeight="1" x14ac:dyDescent="0.3">
      <c r="A955" s="11" t="s">
        <v>23</v>
      </c>
      <c r="B955" s="11" t="s">
        <v>1404</v>
      </c>
      <c r="C955" s="12" t="s">
        <v>1405</v>
      </c>
      <c r="D955" s="25"/>
      <c r="E955" s="39" t="str">
        <f>HYPERLINK("https://www.google.ru/search?q=3027668-300&amp;newwindow=1&amp;tbm=isch","Еще фото")</f>
        <v>Еще фото</v>
      </c>
      <c r="F955" s="13"/>
      <c r="G955" s="11" t="s">
        <v>808</v>
      </c>
      <c r="H955" s="11" t="s">
        <v>593</v>
      </c>
      <c r="I955" s="14" t="s">
        <v>809</v>
      </c>
      <c r="J955" s="14" t="s">
        <v>29</v>
      </c>
      <c r="K955" s="15" t="s">
        <v>578</v>
      </c>
      <c r="L955" s="14" t="s">
        <v>1406</v>
      </c>
      <c r="M955" s="14"/>
      <c r="N955" s="14" t="s">
        <v>1407</v>
      </c>
      <c r="O955" s="14"/>
      <c r="P955" s="15" t="s">
        <v>846</v>
      </c>
      <c r="Q955" s="16">
        <v>25699</v>
      </c>
      <c r="R955" s="17">
        <v>45.13</v>
      </c>
      <c r="S955" s="18">
        <v>16214.988499999998</v>
      </c>
      <c r="T955" s="19" t="s">
        <v>36</v>
      </c>
      <c r="U955" s="20" t="s">
        <v>943</v>
      </c>
      <c r="V955" s="28">
        <v>39.5</v>
      </c>
      <c r="W955" s="22">
        <v>1</v>
      </c>
      <c r="X955" s="23"/>
    </row>
    <row r="956" spans="1:24" s="1" customFormat="1" ht="108" customHeight="1" x14ac:dyDescent="0.3">
      <c r="A956" s="11" t="s">
        <v>23</v>
      </c>
      <c r="B956" s="11" t="s">
        <v>1408</v>
      </c>
      <c r="C956" s="12" t="s">
        <v>1409</v>
      </c>
      <c r="D956" s="25"/>
      <c r="E956" s="39" t="str">
        <f>HYPERLINK("https://www.google.ru/search?q=3026685-500&amp;newwindow=1&amp;tbm=isch","Еще фото")</f>
        <v>Еще фото</v>
      </c>
      <c r="F956" s="13"/>
      <c r="G956" s="11" t="s">
        <v>808</v>
      </c>
      <c r="H956" s="11" t="s">
        <v>593</v>
      </c>
      <c r="I956" s="14" t="s">
        <v>809</v>
      </c>
      <c r="J956" s="14" t="s">
        <v>29</v>
      </c>
      <c r="K956" s="15" t="s">
        <v>64</v>
      </c>
      <c r="L956" s="14" t="s">
        <v>1410</v>
      </c>
      <c r="M956" s="14" t="s">
        <v>811</v>
      </c>
      <c r="N956" s="14" t="s">
        <v>67</v>
      </c>
      <c r="O956" s="14"/>
      <c r="P956" s="15" t="s">
        <v>1411</v>
      </c>
      <c r="Q956" s="16">
        <v>11299</v>
      </c>
      <c r="R956" s="17">
        <v>45.13</v>
      </c>
      <c r="S956" s="18">
        <v>7129.9884999999995</v>
      </c>
      <c r="T956" s="19" t="s">
        <v>36</v>
      </c>
      <c r="U956" s="20" t="s">
        <v>599</v>
      </c>
      <c r="V956" s="28">
        <v>37.5</v>
      </c>
      <c r="W956" s="22">
        <v>1</v>
      </c>
      <c r="X956" s="23"/>
    </row>
    <row r="957" spans="1:24" s="1" customFormat="1" ht="108" customHeight="1" x14ac:dyDescent="0.3">
      <c r="A957" s="11" t="s">
        <v>23</v>
      </c>
      <c r="B957" s="11" t="s">
        <v>1282</v>
      </c>
      <c r="C957" s="12" t="s">
        <v>1412</v>
      </c>
      <c r="D957" s="25"/>
      <c r="E957" s="39" t="str">
        <f>HYPERLINK("https://www.google.ru/search?q=3025130-001&amp;newwindow=1&amp;tbm=isch","Еще фото")</f>
        <v>Еще фото</v>
      </c>
      <c r="F957" s="13"/>
      <c r="G957" s="11" t="s">
        <v>808</v>
      </c>
      <c r="H957" s="11" t="s">
        <v>593</v>
      </c>
      <c r="I957" s="14" t="s">
        <v>809</v>
      </c>
      <c r="J957" s="14" t="s">
        <v>29</v>
      </c>
      <c r="K957" s="15" t="s">
        <v>64</v>
      </c>
      <c r="L957" s="14" t="s">
        <v>1284</v>
      </c>
      <c r="M957" s="14" t="s">
        <v>1285</v>
      </c>
      <c r="N957" s="14" t="s">
        <v>33</v>
      </c>
      <c r="O957" s="14" t="s">
        <v>34</v>
      </c>
      <c r="P957" s="15" t="s">
        <v>1286</v>
      </c>
      <c r="Q957" s="16">
        <v>10199</v>
      </c>
      <c r="R957" s="17">
        <v>45.09</v>
      </c>
      <c r="S957" s="18">
        <v>6439.9884999999995</v>
      </c>
      <c r="T957" s="19" t="s">
        <v>36</v>
      </c>
      <c r="U957" s="20" t="s">
        <v>598</v>
      </c>
      <c r="V957" s="22">
        <v>37</v>
      </c>
      <c r="W957" s="22">
        <v>4</v>
      </c>
      <c r="X957" s="23"/>
    </row>
    <row r="958" spans="1:24" s="1" customFormat="1" ht="108" customHeight="1" x14ac:dyDescent="0.3">
      <c r="A958" s="11" t="s">
        <v>23</v>
      </c>
      <c r="B958" s="11" t="s">
        <v>1413</v>
      </c>
      <c r="C958" s="12" t="s">
        <v>1414</v>
      </c>
      <c r="D958" s="25"/>
      <c r="E958" s="39" t="str">
        <f>HYPERLINK("https://www.google.ru/search?q=3024370-001&amp;newwindow=1&amp;tbm=isch","Еще фото")</f>
        <v>Еще фото</v>
      </c>
      <c r="F958" s="13"/>
      <c r="G958" s="11" t="s">
        <v>808</v>
      </c>
      <c r="H958" s="11" t="s">
        <v>593</v>
      </c>
      <c r="I958" s="14" t="s">
        <v>809</v>
      </c>
      <c r="J958" s="14" t="s">
        <v>29</v>
      </c>
      <c r="K958" s="15" t="s">
        <v>64</v>
      </c>
      <c r="L958" s="14" t="s">
        <v>1415</v>
      </c>
      <c r="M958" s="14" t="s">
        <v>824</v>
      </c>
      <c r="N958" s="14" t="s">
        <v>33</v>
      </c>
      <c r="O958" s="14" t="s">
        <v>34</v>
      </c>
      <c r="P958" s="15" t="s">
        <v>1416</v>
      </c>
      <c r="Q958" s="16">
        <v>17299</v>
      </c>
      <c r="R958" s="17">
        <v>45.08</v>
      </c>
      <c r="S958" s="18">
        <v>10924.988499999999</v>
      </c>
      <c r="T958" s="19" t="s">
        <v>36</v>
      </c>
      <c r="U958" s="20" t="s">
        <v>820</v>
      </c>
      <c r="V958" s="22">
        <v>36</v>
      </c>
      <c r="W958" s="22">
        <v>1</v>
      </c>
      <c r="X958" s="23"/>
    </row>
    <row r="959" spans="1:24" s="1" customFormat="1" ht="51.95" customHeight="1" x14ac:dyDescent="0.3">
      <c r="A959" s="11" t="s">
        <v>23</v>
      </c>
      <c r="B959" s="11" t="s">
        <v>1417</v>
      </c>
      <c r="C959" s="12" t="s">
        <v>1418</v>
      </c>
      <c r="D959" s="59"/>
      <c r="E959" s="39" t="str">
        <f>HYPERLINK("https://www.google.ru/search?q=3026634-006&amp;newwindow=1&amp;tbm=isch","Еще фото")</f>
        <v>Еще фото</v>
      </c>
      <c r="F959" s="13"/>
      <c r="G959" s="11" t="s">
        <v>808</v>
      </c>
      <c r="H959" s="11" t="s">
        <v>593</v>
      </c>
      <c r="I959" s="14" t="s">
        <v>809</v>
      </c>
      <c r="J959" s="14" t="s">
        <v>892</v>
      </c>
      <c r="K959" s="15" t="s">
        <v>578</v>
      </c>
      <c r="L959" s="56" t="s">
        <v>1419</v>
      </c>
      <c r="M959" s="14"/>
      <c r="N959" s="14" t="s">
        <v>33</v>
      </c>
      <c r="O959" s="14"/>
      <c r="P959" s="15" t="s">
        <v>1420</v>
      </c>
      <c r="Q959" s="16">
        <v>12199</v>
      </c>
      <c r="R959" s="17">
        <v>45.08</v>
      </c>
      <c r="S959" s="18">
        <v>7704.9884999999995</v>
      </c>
      <c r="T959" s="19" t="s">
        <v>36</v>
      </c>
      <c r="U959" s="20" t="s">
        <v>875</v>
      </c>
      <c r="V959" s="28">
        <v>41.5</v>
      </c>
      <c r="W959" s="22">
        <v>7</v>
      </c>
      <c r="X959" s="23"/>
    </row>
    <row r="960" spans="1:24" s="1" customFormat="1" ht="60.95" customHeight="1" x14ac:dyDescent="0.3">
      <c r="A960" s="24" t="s">
        <v>23</v>
      </c>
      <c r="B960" s="24" t="s">
        <v>1417</v>
      </c>
      <c r="C960" s="12" t="s">
        <v>1418</v>
      </c>
      <c r="D960" s="60"/>
      <c r="E960" s="39" t="str">
        <f>HYPERLINK("https://www.google.ru/search?q=3026634-006&amp;newwindow=1&amp;tbm=isch","Еще фото")</f>
        <v>Еще фото</v>
      </c>
      <c r="F960" s="13"/>
      <c r="G960" s="24" t="s">
        <v>808</v>
      </c>
      <c r="H960" s="24" t="s">
        <v>593</v>
      </c>
      <c r="I960" s="24" t="s">
        <v>809</v>
      </c>
      <c r="J960" s="14" t="s">
        <v>892</v>
      </c>
      <c r="K960" s="15" t="s">
        <v>578</v>
      </c>
      <c r="L960" s="58"/>
      <c r="M960" s="14"/>
      <c r="N960" s="14" t="s">
        <v>33</v>
      </c>
      <c r="O960" s="14"/>
      <c r="P960" s="15" t="s">
        <v>1420</v>
      </c>
      <c r="Q960" s="16">
        <v>12199</v>
      </c>
      <c r="R960" s="17">
        <v>45.08</v>
      </c>
      <c r="S960" s="18">
        <v>7704.9884999999995</v>
      </c>
      <c r="T960" s="19" t="s">
        <v>36</v>
      </c>
      <c r="U960" s="20" t="s">
        <v>876</v>
      </c>
      <c r="V960" s="22">
        <v>42</v>
      </c>
      <c r="W960" s="22">
        <v>1</v>
      </c>
      <c r="X960" s="23"/>
    </row>
    <row r="961" spans="1:24" s="1" customFormat="1" ht="17.100000000000001" customHeight="1" x14ac:dyDescent="0.3">
      <c r="A961" s="11" t="s">
        <v>23</v>
      </c>
      <c r="B961" s="11" t="s">
        <v>1050</v>
      </c>
      <c r="C961" s="12" t="s">
        <v>1421</v>
      </c>
      <c r="D961" s="53"/>
      <c r="E961" s="39" t="str">
        <f t="shared" ref="E961:E966" si="17">HYPERLINK("https://www.google.ru/search?q=3028261-001&amp;newwindow=1&amp;tbm=isch","Еще фото")</f>
        <v>Еще фото</v>
      </c>
      <c r="F961" s="13"/>
      <c r="G961" s="11" t="s">
        <v>808</v>
      </c>
      <c r="H961" s="11" t="s">
        <v>593</v>
      </c>
      <c r="I961" s="14" t="s">
        <v>809</v>
      </c>
      <c r="J961" s="14" t="s">
        <v>29</v>
      </c>
      <c r="K961" s="15" t="s">
        <v>64</v>
      </c>
      <c r="L961" s="56" t="s">
        <v>1052</v>
      </c>
      <c r="M961" s="14"/>
      <c r="N961" s="14" t="s">
        <v>33</v>
      </c>
      <c r="O961" s="14"/>
      <c r="P961" s="15" t="s">
        <v>1422</v>
      </c>
      <c r="Q961" s="16">
        <v>8899</v>
      </c>
      <c r="R961" s="17">
        <v>45.08</v>
      </c>
      <c r="S961" s="18">
        <v>5620.9355000000005</v>
      </c>
      <c r="T961" s="19" t="s">
        <v>36</v>
      </c>
      <c r="U961" s="20" t="s">
        <v>813</v>
      </c>
      <c r="V961" s="28">
        <v>35.5</v>
      </c>
      <c r="W961" s="22">
        <v>5</v>
      </c>
      <c r="X961" s="23"/>
    </row>
    <row r="962" spans="1:24" s="1" customFormat="1" ht="17.100000000000001" customHeight="1" x14ac:dyDescent="0.3">
      <c r="A962" s="24" t="s">
        <v>23</v>
      </c>
      <c r="B962" s="24" t="s">
        <v>1050</v>
      </c>
      <c r="C962" s="12" t="s">
        <v>1421</v>
      </c>
      <c r="D962" s="54"/>
      <c r="E962" s="39" t="str">
        <f t="shared" si="17"/>
        <v>Еще фото</v>
      </c>
      <c r="F962" s="13"/>
      <c r="G962" s="24" t="s">
        <v>808</v>
      </c>
      <c r="H962" s="24" t="s">
        <v>593</v>
      </c>
      <c r="I962" s="24" t="s">
        <v>809</v>
      </c>
      <c r="J962" s="14" t="s">
        <v>29</v>
      </c>
      <c r="K962" s="15" t="s">
        <v>64</v>
      </c>
      <c r="L962" s="57"/>
      <c r="M962" s="14"/>
      <c r="N962" s="14" t="s">
        <v>33</v>
      </c>
      <c r="O962" s="14"/>
      <c r="P962" s="15" t="s">
        <v>1422</v>
      </c>
      <c r="Q962" s="16">
        <v>8899</v>
      </c>
      <c r="R962" s="17">
        <v>45.08</v>
      </c>
      <c r="S962" s="18">
        <v>5620.9355000000005</v>
      </c>
      <c r="T962" s="19" t="s">
        <v>36</v>
      </c>
      <c r="U962" s="20" t="s">
        <v>820</v>
      </c>
      <c r="V962" s="22">
        <v>36</v>
      </c>
      <c r="W962" s="22">
        <v>3</v>
      </c>
      <c r="X962" s="23"/>
    </row>
    <row r="963" spans="1:24" s="1" customFormat="1" ht="17.100000000000001" customHeight="1" x14ac:dyDescent="0.3">
      <c r="A963" s="24" t="s">
        <v>23</v>
      </c>
      <c r="B963" s="24" t="s">
        <v>1050</v>
      </c>
      <c r="C963" s="12" t="s">
        <v>1421</v>
      </c>
      <c r="D963" s="54"/>
      <c r="E963" s="39" t="str">
        <f t="shared" si="17"/>
        <v>Еще фото</v>
      </c>
      <c r="F963" s="13"/>
      <c r="G963" s="24" t="s">
        <v>808</v>
      </c>
      <c r="H963" s="24" t="s">
        <v>593</v>
      </c>
      <c r="I963" s="24" t="s">
        <v>809</v>
      </c>
      <c r="J963" s="14" t="s">
        <v>29</v>
      </c>
      <c r="K963" s="15" t="s">
        <v>64</v>
      </c>
      <c r="L963" s="57"/>
      <c r="M963" s="14"/>
      <c r="N963" s="14" t="s">
        <v>33</v>
      </c>
      <c r="O963" s="14"/>
      <c r="P963" s="15" t="s">
        <v>1422</v>
      </c>
      <c r="Q963" s="16">
        <v>8899</v>
      </c>
      <c r="R963" s="17">
        <v>45.08</v>
      </c>
      <c r="S963" s="18">
        <v>5620.9355000000005</v>
      </c>
      <c r="T963" s="19" t="s">
        <v>36</v>
      </c>
      <c r="U963" s="20" t="s">
        <v>814</v>
      </c>
      <c r="V963" s="28">
        <v>36.5</v>
      </c>
      <c r="W963" s="22">
        <v>5</v>
      </c>
      <c r="X963" s="23"/>
    </row>
    <row r="964" spans="1:24" s="1" customFormat="1" ht="17.100000000000001" customHeight="1" x14ac:dyDescent="0.3">
      <c r="A964" s="24" t="s">
        <v>23</v>
      </c>
      <c r="B964" s="24" t="s">
        <v>1050</v>
      </c>
      <c r="C964" s="12" t="s">
        <v>1421</v>
      </c>
      <c r="D964" s="54"/>
      <c r="E964" s="39" t="str">
        <f t="shared" si="17"/>
        <v>Еще фото</v>
      </c>
      <c r="F964" s="13"/>
      <c r="G964" s="24" t="s">
        <v>808</v>
      </c>
      <c r="H964" s="24" t="s">
        <v>593</v>
      </c>
      <c r="I964" s="24" t="s">
        <v>809</v>
      </c>
      <c r="J964" s="14" t="s">
        <v>29</v>
      </c>
      <c r="K964" s="15" t="s">
        <v>64</v>
      </c>
      <c r="L964" s="57"/>
      <c r="M964" s="14"/>
      <c r="N964" s="14" t="s">
        <v>33</v>
      </c>
      <c r="O964" s="14"/>
      <c r="P964" s="15" t="s">
        <v>1422</v>
      </c>
      <c r="Q964" s="16">
        <v>8899</v>
      </c>
      <c r="R964" s="17">
        <v>45.08</v>
      </c>
      <c r="S964" s="18">
        <v>5620.9355000000005</v>
      </c>
      <c r="T964" s="19" t="s">
        <v>36</v>
      </c>
      <c r="U964" s="20" t="s">
        <v>598</v>
      </c>
      <c r="V964" s="22">
        <v>37</v>
      </c>
      <c r="W964" s="22">
        <v>13</v>
      </c>
      <c r="X964" s="23"/>
    </row>
    <row r="965" spans="1:24" s="1" customFormat="1" ht="17.100000000000001" customHeight="1" x14ac:dyDescent="0.3">
      <c r="A965" s="24" t="s">
        <v>23</v>
      </c>
      <c r="B965" s="24" t="s">
        <v>1050</v>
      </c>
      <c r="C965" s="12" t="s">
        <v>1421</v>
      </c>
      <c r="D965" s="54"/>
      <c r="E965" s="39" t="str">
        <f t="shared" si="17"/>
        <v>Еще фото</v>
      </c>
      <c r="F965" s="13"/>
      <c r="G965" s="24" t="s">
        <v>808</v>
      </c>
      <c r="H965" s="24" t="s">
        <v>593</v>
      </c>
      <c r="I965" s="24" t="s">
        <v>809</v>
      </c>
      <c r="J965" s="14" t="s">
        <v>29</v>
      </c>
      <c r="K965" s="15" t="s">
        <v>64</v>
      </c>
      <c r="L965" s="57"/>
      <c r="M965" s="14"/>
      <c r="N965" s="14" t="s">
        <v>33</v>
      </c>
      <c r="O965" s="14"/>
      <c r="P965" s="15" t="s">
        <v>1422</v>
      </c>
      <c r="Q965" s="16">
        <v>8899</v>
      </c>
      <c r="R965" s="17">
        <v>45.08</v>
      </c>
      <c r="S965" s="18">
        <v>5620.9355000000005</v>
      </c>
      <c r="T965" s="19" t="s">
        <v>36</v>
      </c>
      <c r="U965" s="20" t="s">
        <v>599</v>
      </c>
      <c r="V965" s="28">
        <v>37.5</v>
      </c>
      <c r="W965" s="22">
        <v>16</v>
      </c>
      <c r="X965" s="23"/>
    </row>
    <row r="966" spans="1:24" s="1" customFormat="1" ht="21.95" customHeight="1" x14ac:dyDescent="0.3">
      <c r="A966" s="24" t="s">
        <v>23</v>
      </c>
      <c r="B966" s="24" t="s">
        <v>1050</v>
      </c>
      <c r="C966" s="12" t="s">
        <v>1421</v>
      </c>
      <c r="D966" s="55"/>
      <c r="E966" s="39" t="str">
        <f t="shared" si="17"/>
        <v>Еще фото</v>
      </c>
      <c r="F966" s="13"/>
      <c r="G966" s="24" t="s">
        <v>808</v>
      </c>
      <c r="H966" s="24" t="s">
        <v>593</v>
      </c>
      <c r="I966" s="24" t="s">
        <v>809</v>
      </c>
      <c r="J966" s="14" t="s">
        <v>29</v>
      </c>
      <c r="K966" s="15" t="s">
        <v>64</v>
      </c>
      <c r="L966" s="58"/>
      <c r="M966" s="14"/>
      <c r="N966" s="14" t="s">
        <v>33</v>
      </c>
      <c r="O966" s="14"/>
      <c r="P966" s="15" t="s">
        <v>1422</v>
      </c>
      <c r="Q966" s="16">
        <v>8899</v>
      </c>
      <c r="R966" s="17">
        <v>45.08</v>
      </c>
      <c r="S966" s="18">
        <v>5620.9355000000005</v>
      </c>
      <c r="T966" s="19" t="s">
        <v>36</v>
      </c>
      <c r="U966" s="20" t="s">
        <v>600</v>
      </c>
      <c r="V966" s="22">
        <v>38</v>
      </c>
      <c r="W966" s="22">
        <v>7</v>
      </c>
      <c r="X966" s="23"/>
    </row>
    <row r="967" spans="1:24" s="1" customFormat="1" ht="108" customHeight="1" x14ac:dyDescent="0.3">
      <c r="A967" s="11" t="s">
        <v>23</v>
      </c>
      <c r="B967" s="11" t="s">
        <v>1368</v>
      </c>
      <c r="C967" s="12" t="s">
        <v>1423</v>
      </c>
      <c r="D967" s="25"/>
      <c r="E967" s="39" t="str">
        <f>HYPERLINK("https://www.google.ru/search?q=3023559-603&amp;newwindow=1&amp;tbm=isch","Еще фото")</f>
        <v>Еще фото</v>
      </c>
      <c r="F967" s="13"/>
      <c r="G967" s="11" t="s">
        <v>808</v>
      </c>
      <c r="H967" s="11" t="s">
        <v>593</v>
      </c>
      <c r="I967" s="14" t="s">
        <v>809</v>
      </c>
      <c r="J967" s="14" t="s">
        <v>29</v>
      </c>
      <c r="K967" s="15" t="s">
        <v>64</v>
      </c>
      <c r="L967" s="14" t="s">
        <v>1424</v>
      </c>
      <c r="M967" s="14" t="s">
        <v>824</v>
      </c>
      <c r="N967" s="14" t="s">
        <v>57</v>
      </c>
      <c r="O967" s="14" t="s">
        <v>34</v>
      </c>
      <c r="P967" s="15" t="s">
        <v>1425</v>
      </c>
      <c r="Q967" s="16">
        <v>19299</v>
      </c>
      <c r="R967" s="17">
        <v>45.07</v>
      </c>
      <c r="S967" s="18">
        <v>12189.988499999999</v>
      </c>
      <c r="T967" s="19" t="s">
        <v>36</v>
      </c>
      <c r="U967" s="20" t="s">
        <v>820</v>
      </c>
      <c r="V967" s="22">
        <v>36</v>
      </c>
      <c r="W967" s="22">
        <v>2</v>
      </c>
      <c r="X967" s="23"/>
    </row>
    <row r="968" spans="1:24" s="1" customFormat="1" ht="35.1" customHeight="1" x14ac:dyDescent="0.3">
      <c r="A968" s="11" t="s">
        <v>23</v>
      </c>
      <c r="B968" s="11" t="s">
        <v>1426</v>
      </c>
      <c r="C968" s="12" t="s">
        <v>1427</v>
      </c>
      <c r="D968" s="53"/>
      <c r="E968" s="39" t="str">
        <f>HYPERLINK("https://www.google.ru/search?q=3028657-100&amp;newwindow=1&amp;tbm=isch","Еще фото")</f>
        <v>Еще фото</v>
      </c>
      <c r="F968" s="13"/>
      <c r="G968" s="11" t="s">
        <v>808</v>
      </c>
      <c r="H968" s="11" t="s">
        <v>593</v>
      </c>
      <c r="I968" s="14" t="s">
        <v>809</v>
      </c>
      <c r="J968" s="14" t="s">
        <v>29</v>
      </c>
      <c r="K968" s="15" t="s">
        <v>30</v>
      </c>
      <c r="L968" s="56" t="s">
        <v>1428</v>
      </c>
      <c r="M968" s="14"/>
      <c r="N968" s="14" t="s">
        <v>84</v>
      </c>
      <c r="O968" s="14"/>
      <c r="P968" s="15" t="s">
        <v>1429</v>
      </c>
      <c r="Q968" s="16">
        <v>12099</v>
      </c>
      <c r="R968" s="17">
        <v>45.06</v>
      </c>
      <c r="S968" s="18">
        <v>7644.9354999999996</v>
      </c>
      <c r="T968" s="19" t="s">
        <v>36</v>
      </c>
      <c r="U968" s="20" t="s">
        <v>598</v>
      </c>
      <c r="V968" s="22">
        <v>39</v>
      </c>
      <c r="W968" s="22">
        <v>6</v>
      </c>
      <c r="X968" s="23"/>
    </row>
    <row r="969" spans="1:24" s="1" customFormat="1" ht="35.1" customHeight="1" x14ac:dyDescent="0.3">
      <c r="A969" s="24" t="s">
        <v>23</v>
      </c>
      <c r="B969" s="24" t="s">
        <v>1426</v>
      </c>
      <c r="C969" s="12" t="s">
        <v>1427</v>
      </c>
      <c r="D969" s="54"/>
      <c r="E969" s="39" t="str">
        <f>HYPERLINK("https://www.google.ru/search?q=3028657-100&amp;newwindow=1&amp;tbm=isch","Еще фото")</f>
        <v>Еще фото</v>
      </c>
      <c r="F969" s="13"/>
      <c r="G969" s="24" t="s">
        <v>808</v>
      </c>
      <c r="H969" s="24" t="s">
        <v>593</v>
      </c>
      <c r="I969" s="24" t="s">
        <v>809</v>
      </c>
      <c r="J969" s="14" t="s">
        <v>29</v>
      </c>
      <c r="K969" s="15" t="s">
        <v>30</v>
      </c>
      <c r="L969" s="57"/>
      <c r="M969" s="14"/>
      <c r="N969" s="14" t="s">
        <v>84</v>
      </c>
      <c r="O969" s="14"/>
      <c r="P969" s="15" t="s">
        <v>1429</v>
      </c>
      <c r="Q969" s="16">
        <v>12099</v>
      </c>
      <c r="R969" s="17">
        <v>45.06</v>
      </c>
      <c r="S969" s="18">
        <v>7644.9354999999996</v>
      </c>
      <c r="T969" s="19" t="s">
        <v>36</v>
      </c>
      <c r="U969" s="20" t="s">
        <v>600</v>
      </c>
      <c r="V969" s="22">
        <v>40</v>
      </c>
      <c r="W969" s="22">
        <v>8</v>
      </c>
      <c r="X969" s="23"/>
    </row>
    <row r="970" spans="1:24" s="1" customFormat="1" ht="36.950000000000003" customHeight="1" x14ac:dyDescent="0.3">
      <c r="A970" s="24" t="s">
        <v>23</v>
      </c>
      <c r="B970" s="24" t="s">
        <v>1426</v>
      </c>
      <c r="C970" s="12" t="s">
        <v>1427</v>
      </c>
      <c r="D970" s="55"/>
      <c r="E970" s="39" t="str">
        <f>HYPERLINK("https://www.google.ru/search?q=3028657-100&amp;newwindow=1&amp;tbm=isch","Еще фото")</f>
        <v>Еще фото</v>
      </c>
      <c r="F970" s="13"/>
      <c r="G970" s="24" t="s">
        <v>808</v>
      </c>
      <c r="H970" s="24" t="s">
        <v>593</v>
      </c>
      <c r="I970" s="24" t="s">
        <v>809</v>
      </c>
      <c r="J970" s="14" t="s">
        <v>29</v>
      </c>
      <c r="K970" s="15" t="s">
        <v>30</v>
      </c>
      <c r="L970" s="58"/>
      <c r="M970" s="14"/>
      <c r="N970" s="14" t="s">
        <v>84</v>
      </c>
      <c r="O970" s="14"/>
      <c r="P970" s="15" t="s">
        <v>1429</v>
      </c>
      <c r="Q970" s="16">
        <v>12099</v>
      </c>
      <c r="R970" s="17">
        <v>45.06</v>
      </c>
      <c r="S970" s="18">
        <v>7644.9354999999996</v>
      </c>
      <c r="T970" s="19" t="s">
        <v>36</v>
      </c>
      <c r="U970" s="20" t="s">
        <v>602</v>
      </c>
      <c r="V970" s="28">
        <v>41.5</v>
      </c>
      <c r="W970" s="22">
        <v>8</v>
      </c>
      <c r="X970" s="23"/>
    </row>
    <row r="971" spans="1:24" s="1" customFormat="1" ht="51.95" customHeight="1" x14ac:dyDescent="0.3">
      <c r="A971" s="11" t="s">
        <v>23</v>
      </c>
      <c r="B971" s="11" t="s">
        <v>1430</v>
      </c>
      <c r="C971" s="12" t="s">
        <v>1431</v>
      </c>
      <c r="D971" s="59"/>
      <c r="E971" s="39" t="str">
        <f>HYPERLINK("https://www.google.ru/search?q=3024878-005&amp;newwindow=1&amp;tbm=isch","Еще фото")</f>
        <v>Еще фото</v>
      </c>
      <c r="F971" s="13"/>
      <c r="G971" s="11" t="s">
        <v>808</v>
      </c>
      <c r="H971" s="11" t="s">
        <v>593</v>
      </c>
      <c r="I971" s="14" t="s">
        <v>809</v>
      </c>
      <c r="J971" s="14" t="s">
        <v>29</v>
      </c>
      <c r="K971" s="15" t="s">
        <v>30</v>
      </c>
      <c r="L971" s="56" t="s">
        <v>1432</v>
      </c>
      <c r="M971" s="14" t="s">
        <v>811</v>
      </c>
      <c r="N971" s="14" t="s">
        <v>1433</v>
      </c>
      <c r="O971" s="14"/>
      <c r="P971" s="15" t="s">
        <v>1434</v>
      </c>
      <c r="Q971" s="16">
        <v>9099</v>
      </c>
      <c r="R971" s="17">
        <v>45.05</v>
      </c>
      <c r="S971" s="18">
        <v>5749.9884999999995</v>
      </c>
      <c r="T971" s="19" t="s">
        <v>36</v>
      </c>
      <c r="U971" s="20" t="s">
        <v>599</v>
      </c>
      <c r="V971" s="28">
        <v>39.5</v>
      </c>
      <c r="W971" s="22">
        <v>4</v>
      </c>
      <c r="X971" s="23"/>
    </row>
    <row r="972" spans="1:24" s="1" customFormat="1" ht="60.95" customHeight="1" x14ac:dyDescent="0.3">
      <c r="A972" s="24" t="s">
        <v>23</v>
      </c>
      <c r="B972" s="24" t="s">
        <v>1430</v>
      </c>
      <c r="C972" s="12" t="s">
        <v>1431</v>
      </c>
      <c r="D972" s="60"/>
      <c r="E972" s="39" t="str">
        <f>HYPERLINK("https://www.google.ru/search?q=3024878-005&amp;newwindow=1&amp;tbm=isch","Еще фото")</f>
        <v>Еще фото</v>
      </c>
      <c r="F972" s="13"/>
      <c r="G972" s="24" t="s">
        <v>808</v>
      </c>
      <c r="H972" s="24" t="s">
        <v>593</v>
      </c>
      <c r="I972" s="24" t="s">
        <v>809</v>
      </c>
      <c r="J972" s="14" t="s">
        <v>29</v>
      </c>
      <c r="K972" s="15" t="s">
        <v>30</v>
      </c>
      <c r="L972" s="58"/>
      <c r="M972" s="14" t="s">
        <v>811</v>
      </c>
      <c r="N972" s="14" t="s">
        <v>1433</v>
      </c>
      <c r="O972" s="14"/>
      <c r="P972" s="15" t="s">
        <v>1434</v>
      </c>
      <c r="Q972" s="16">
        <v>9099</v>
      </c>
      <c r="R972" s="17">
        <v>45.05</v>
      </c>
      <c r="S972" s="18">
        <v>5749.9884999999995</v>
      </c>
      <c r="T972" s="19" t="s">
        <v>36</v>
      </c>
      <c r="U972" s="20" t="s">
        <v>600</v>
      </c>
      <c r="V972" s="22">
        <v>40</v>
      </c>
      <c r="W972" s="22">
        <v>8</v>
      </c>
      <c r="X972" s="23"/>
    </row>
    <row r="973" spans="1:24" s="1" customFormat="1" ht="108" customHeight="1" x14ac:dyDescent="0.3">
      <c r="A973" s="11" t="s">
        <v>23</v>
      </c>
      <c r="B973" s="11" t="s">
        <v>1435</v>
      </c>
      <c r="C973" s="12" t="s">
        <v>1436</v>
      </c>
      <c r="D973" s="25"/>
      <c r="E973" s="39" t="str">
        <f>HYPERLINK("https://www.google.ru/search?q=6000598-102&amp;newwindow=1&amp;tbm=isch","Еще фото")</f>
        <v>Еще фото</v>
      </c>
      <c r="F973" s="13"/>
      <c r="G973" s="11" t="s">
        <v>808</v>
      </c>
      <c r="H973" s="11" t="s">
        <v>593</v>
      </c>
      <c r="I973" s="14" t="s">
        <v>809</v>
      </c>
      <c r="J973" s="14" t="s">
        <v>29</v>
      </c>
      <c r="K973" s="15" t="s">
        <v>64</v>
      </c>
      <c r="L973" s="14" t="s">
        <v>1437</v>
      </c>
      <c r="M973" s="14"/>
      <c r="N973" s="14" t="s">
        <v>74</v>
      </c>
      <c r="O973" s="14"/>
      <c r="P973" s="15" t="s">
        <v>1438</v>
      </c>
      <c r="Q973" s="16">
        <v>9099</v>
      </c>
      <c r="R973" s="17">
        <v>45.05</v>
      </c>
      <c r="S973" s="18">
        <v>5749.9884999999995</v>
      </c>
      <c r="T973" s="19" t="s">
        <v>36</v>
      </c>
      <c r="U973" s="20" t="s">
        <v>599</v>
      </c>
      <c r="V973" s="28">
        <v>37.5</v>
      </c>
      <c r="W973" s="22">
        <v>1</v>
      </c>
      <c r="X973" s="23"/>
    </row>
    <row r="974" spans="1:24" s="1" customFormat="1" ht="108" customHeight="1" x14ac:dyDescent="0.3">
      <c r="A974" s="11" t="s">
        <v>23</v>
      </c>
      <c r="B974" s="11" t="s">
        <v>885</v>
      </c>
      <c r="C974" s="12" t="s">
        <v>1439</v>
      </c>
      <c r="D974" s="25"/>
      <c r="E974" s="39" t="str">
        <f>HYPERLINK("https://www.google.ru/search?q=3023561-602&amp;newwindow=1&amp;tbm=isch","Еще фото")</f>
        <v>Еще фото</v>
      </c>
      <c r="F974" s="13"/>
      <c r="G974" s="11" t="s">
        <v>808</v>
      </c>
      <c r="H974" s="11" t="s">
        <v>593</v>
      </c>
      <c r="I974" s="14" t="s">
        <v>809</v>
      </c>
      <c r="J974" s="14" t="s">
        <v>29</v>
      </c>
      <c r="K974" s="15" t="s">
        <v>64</v>
      </c>
      <c r="L974" s="14" t="s">
        <v>887</v>
      </c>
      <c r="M974" s="14" t="s">
        <v>888</v>
      </c>
      <c r="N974" s="14" t="s">
        <v>57</v>
      </c>
      <c r="O974" s="14" t="s">
        <v>34</v>
      </c>
      <c r="P974" s="15" t="s">
        <v>889</v>
      </c>
      <c r="Q974" s="16">
        <v>24199</v>
      </c>
      <c r="R974" s="17">
        <v>45.04</v>
      </c>
      <c r="S974" s="18">
        <v>15294.988499999999</v>
      </c>
      <c r="T974" s="19" t="s">
        <v>36</v>
      </c>
      <c r="U974" s="20" t="s">
        <v>608</v>
      </c>
      <c r="V974" s="28">
        <v>43.5</v>
      </c>
      <c r="W974" s="22">
        <v>1</v>
      </c>
      <c r="X974" s="23"/>
    </row>
    <row r="975" spans="1:24" s="1" customFormat="1" ht="108" customHeight="1" x14ac:dyDescent="0.3">
      <c r="A975" s="11" t="s">
        <v>23</v>
      </c>
      <c r="B975" s="11" t="s">
        <v>1440</v>
      </c>
      <c r="C975" s="12" t="s">
        <v>1441</v>
      </c>
      <c r="D975" s="25"/>
      <c r="E975" s="39" t="str">
        <f>HYPERLINK("https://www.google.ru/search?q=3027381-001&amp;newwindow=1&amp;tbm=isch","Еще фото")</f>
        <v>Еще фото</v>
      </c>
      <c r="F975" s="13" t="s">
        <v>98</v>
      </c>
      <c r="G975" s="11" t="s">
        <v>592</v>
      </c>
      <c r="H975" s="11" t="s">
        <v>593</v>
      </c>
      <c r="I975" s="14" t="s">
        <v>809</v>
      </c>
      <c r="J975" s="14" t="s">
        <v>595</v>
      </c>
      <c r="K975" s="15" t="s">
        <v>30</v>
      </c>
      <c r="L975" s="14" t="s">
        <v>1442</v>
      </c>
      <c r="M975" s="14"/>
      <c r="N975" s="14" t="s">
        <v>33</v>
      </c>
      <c r="O975" s="14"/>
      <c r="P975" s="15" t="s">
        <v>870</v>
      </c>
      <c r="Q975" s="16">
        <v>19099</v>
      </c>
      <c r="R975" s="17">
        <v>45.02</v>
      </c>
      <c r="S975" s="18">
        <v>12074.988499999999</v>
      </c>
      <c r="T975" s="19" t="s">
        <v>36</v>
      </c>
      <c r="U975" s="20" t="s">
        <v>599</v>
      </c>
      <c r="V975" s="28">
        <v>39.5</v>
      </c>
      <c r="W975" s="22">
        <v>1</v>
      </c>
      <c r="X975" s="23"/>
    </row>
    <row r="976" spans="1:24" s="1" customFormat="1" ht="51.95" customHeight="1" x14ac:dyDescent="0.3">
      <c r="A976" s="11" t="s">
        <v>23</v>
      </c>
      <c r="B976" s="11" t="s">
        <v>1276</v>
      </c>
      <c r="C976" s="12" t="s">
        <v>1443</v>
      </c>
      <c r="D976" s="59"/>
      <c r="E976" s="39" t="str">
        <f>HYPERLINK("https://www.google.ru/search?q=3024894-103&amp;newwindow=1&amp;tbm=isch","Еще фото")</f>
        <v>Еще фото</v>
      </c>
      <c r="F976" s="13"/>
      <c r="G976" s="11" t="s">
        <v>808</v>
      </c>
      <c r="H976" s="11" t="s">
        <v>593</v>
      </c>
      <c r="I976" s="14" t="s">
        <v>809</v>
      </c>
      <c r="J976" s="14" t="s">
        <v>29</v>
      </c>
      <c r="K976" s="15" t="s">
        <v>64</v>
      </c>
      <c r="L976" s="56" t="s">
        <v>1278</v>
      </c>
      <c r="M976" s="14" t="s">
        <v>49</v>
      </c>
      <c r="N976" s="14" t="s">
        <v>84</v>
      </c>
      <c r="O976" s="14"/>
      <c r="P976" s="15" t="s">
        <v>1444</v>
      </c>
      <c r="Q976" s="16">
        <v>7999</v>
      </c>
      <c r="R976" s="17">
        <v>45.02</v>
      </c>
      <c r="S976" s="18">
        <v>5057.4355000000005</v>
      </c>
      <c r="T976" s="19" t="s">
        <v>36</v>
      </c>
      <c r="U976" s="20" t="s">
        <v>820</v>
      </c>
      <c r="V976" s="22">
        <v>36</v>
      </c>
      <c r="W976" s="22">
        <v>8</v>
      </c>
      <c r="X976" s="23"/>
    </row>
    <row r="977" spans="1:24" s="1" customFormat="1" ht="60.95" customHeight="1" x14ac:dyDescent="0.3">
      <c r="A977" s="24" t="s">
        <v>23</v>
      </c>
      <c r="B977" s="24" t="s">
        <v>1276</v>
      </c>
      <c r="C977" s="12" t="s">
        <v>1443</v>
      </c>
      <c r="D977" s="60"/>
      <c r="E977" s="39" t="str">
        <f>HYPERLINK("https://www.google.ru/search?q=3024894-103&amp;newwindow=1&amp;tbm=isch","Еще фото")</f>
        <v>Еще фото</v>
      </c>
      <c r="F977" s="13"/>
      <c r="G977" s="24" t="s">
        <v>808</v>
      </c>
      <c r="H977" s="24" t="s">
        <v>593</v>
      </c>
      <c r="I977" s="24" t="s">
        <v>809</v>
      </c>
      <c r="J977" s="14" t="s">
        <v>29</v>
      </c>
      <c r="K977" s="15" t="s">
        <v>64</v>
      </c>
      <c r="L977" s="58"/>
      <c r="M977" s="14" t="s">
        <v>49</v>
      </c>
      <c r="N977" s="14" t="s">
        <v>84</v>
      </c>
      <c r="O977" s="14"/>
      <c r="P977" s="15" t="s">
        <v>1444</v>
      </c>
      <c r="Q977" s="16">
        <v>7999</v>
      </c>
      <c r="R977" s="17">
        <v>45.02</v>
      </c>
      <c r="S977" s="18">
        <v>5057.4355000000005</v>
      </c>
      <c r="T977" s="19" t="s">
        <v>36</v>
      </c>
      <c r="U977" s="20" t="s">
        <v>814</v>
      </c>
      <c r="V977" s="28">
        <v>36.5</v>
      </c>
      <c r="W977" s="22">
        <v>9</v>
      </c>
      <c r="X977" s="23"/>
    </row>
    <row r="978" spans="1:24" s="1" customFormat="1" ht="21" customHeight="1" x14ac:dyDescent="0.3">
      <c r="A978" s="11" t="s">
        <v>23</v>
      </c>
      <c r="B978" s="11" t="s">
        <v>971</v>
      </c>
      <c r="C978" s="26" t="s">
        <v>1445</v>
      </c>
      <c r="D978" s="53"/>
      <c r="E978" s="39" t="str">
        <f>HYPERLINK("https://www.google.ru/search?q=3028512-001&amp;newwindow=1&amp;tbm=isch","Еще фото")</f>
        <v>Еще фото</v>
      </c>
      <c r="F978" s="13" t="s">
        <v>98</v>
      </c>
      <c r="G978" s="11" t="s">
        <v>808</v>
      </c>
      <c r="H978" s="11" t="s">
        <v>593</v>
      </c>
      <c r="I978" s="14" t="s">
        <v>809</v>
      </c>
      <c r="J978" s="14" t="s">
        <v>892</v>
      </c>
      <c r="K978" s="15" t="s">
        <v>578</v>
      </c>
      <c r="L978" s="56" t="s">
        <v>973</v>
      </c>
      <c r="M978" s="14"/>
      <c r="N978" s="14" t="s">
        <v>33</v>
      </c>
      <c r="O978" s="14"/>
      <c r="P978" s="15" t="s">
        <v>1121</v>
      </c>
      <c r="Q978" s="16">
        <v>9599</v>
      </c>
      <c r="R978" s="17">
        <v>45.02</v>
      </c>
      <c r="S978" s="18">
        <v>6069.4354999999996</v>
      </c>
      <c r="T978" s="19" t="s">
        <v>36</v>
      </c>
      <c r="U978" s="20" t="s">
        <v>945</v>
      </c>
      <c r="V978" s="22">
        <v>41</v>
      </c>
      <c r="W978" s="22">
        <v>14</v>
      </c>
      <c r="X978" s="23"/>
    </row>
    <row r="979" spans="1:24" s="1" customFormat="1" ht="21" customHeight="1" x14ac:dyDescent="0.3">
      <c r="A979" s="24" t="s">
        <v>23</v>
      </c>
      <c r="B979" s="24" t="s">
        <v>971</v>
      </c>
      <c r="C979" s="27" t="s">
        <v>1445</v>
      </c>
      <c r="D979" s="54"/>
      <c r="E979" s="39" t="str">
        <f>HYPERLINK("https://www.google.ru/search?q=3028512-001&amp;newwindow=1&amp;tbm=isch","Еще фото")</f>
        <v>Еще фото</v>
      </c>
      <c r="F979" s="13" t="s">
        <v>98</v>
      </c>
      <c r="G979" s="24" t="s">
        <v>808</v>
      </c>
      <c r="H979" s="24" t="s">
        <v>593</v>
      </c>
      <c r="I979" s="24" t="s">
        <v>809</v>
      </c>
      <c r="J979" s="14" t="s">
        <v>892</v>
      </c>
      <c r="K979" s="15" t="s">
        <v>578</v>
      </c>
      <c r="L979" s="57"/>
      <c r="M979" s="14"/>
      <c r="N979" s="14" t="s">
        <v>33</v>
      </c>
      <c r="O979" s="14"/>
      <c r="P979" s="15" t="s">
        <v>1121</v>
      </c>
      <c r="Q979" s="16">
        <v>9599</v>
      </c>
      <c r="R979" s="17">
        <v>45.02</v>
      </c>
      <c r="S979" s="18">
        <v>6069.4354999999996</v>
      </c>
      <c r="T979" s="19" t="s">
        <v>36</v>
      </c>
      <c r="U979" s="20" t="s">
        <v>876</v>
      </c>
      <c r="V979" s="22">
        <v>42</v>
      </c>
      <c r="W979" s="22">
        <v>23</v>
      </c>
      <c r="X979" s="23"/>
    </row>
    <row r="980" spans="1:24" s="1" customFormat="1" ht="21" customHeight="1" x14ac:dyDescent="0.3">
      <c r="A980" s="24" t="s">
        <v>23</v>
      </c>
      <c r="B980" s="24" t="s">
        <v>971</v>
      </c>
      <c r="C980" s="27" t="s">
        <v>1445</v>
      </c>
      <c r="D980" s="54"/>
      <c r="E980" s="39" t="str">
        <f>HYPERLINK("https://www.google.ru/search?q=3028512-001&amp;newwindow=1&amp;tbm=isch","Еще фото")</f>
        <v>Еще фото</v>
      </c>
      <c r="F980" s="13" t="s">
        <v>98</v>
      </c>
      <c r="G980" s="24" t="s">
        <v>808</v>
      </c>
      <c r="H980" s="24" t="s">
        <v>593</v>
      </c>
      <c r="I980" s="24" t="s">
        <v>809</v>
      </c>
      <c r="J980" s="14" t="s">
        <v>892</v>
      </c>
      <c r="K980" s="15" t="s">
        <v>578</v>
      </c>
      <c r="L980" s="57"/>
      <c r="M980" s="14"/>
      <c r="N980" s="14" t="s">
        <v>33</v>
      </c>
      <c r="O980" s="14"/>
      <c r="P980" s="15" t="s">
        <v>1121</v>
      </c>
      <c r="Q980" s="16">
        <v>9599</v>
      </c>
      <c r="R980" s="17">
        <v>45.02</v>
      </c>
      <c r="S980" s="18">
        <v>6069.4354999999996</v>
      </c>
      <c r="T980" s="19" t="s">
        <v>36</v>
      </c>
      <c r="U980" s="20" t="s">
        <v>877</v>
      </c>
      <c r="V980" s="22">
        <v>43</v>
      </c>
      <c r="W980" s="22">
        <v>19</v>
      </c>
      <c r="X980" s="23"/>
    </row>
    <row r="981" spans="1:24" s="1" customFormat="1" ht="21" customHeight="1" x14ac:dyDescent="0.3">
      <c r="A981" s="24" t="s">
        <v>23</v>
      </c>
      <c r="B981" s="24" t="s">
        <v>971</v>
      </c>
      <c r="C981" s="27" t="s">
        <v>1445</v>
      </c>
      <c r="D981" s="54"/>
      <c r="E981" s="39" t="str">
        <f>HYPERLINK("https://www.google.ru/search?q=3028512-001&amp;newwindow=1&amp;tbm=isch","Еще фото")</f>
        <v>Еще фото</v>
      </c>
      <c r="F981" s="13" t="s">
        <v>98</v>
      </c>
      <c r="G981" s="24" t="s">
        <v>808</v>
      </c>
      <c r="H981" s="24" t="s">
        <v>593</v>
      </c>
      <c r="I981" s="24" t="s">
        <v>809</v>
      </c>
      <c r="J981" s="14" t="s">
        <v>892</v>
      </c>
      <c r="K981" s="15" t="s">
        <v>578</v>
      </c>
      <c r="L981" s="57"/>
      <c r="M981" s="14"/>
      <c r="N981" s="14" t="s">
        <v>33</v>
      </c>
      <c r="O981" s="14"/>
      <c r="P981" s="15" t="s">
        <v>1121</v>
      </c>
      <c r="Q981" s="16">
        <v>9599</v>
      </c>
      <c r="R981" s="17">
        <v>45.02</v>
      </c>
      <c r="S981" s="18">
        <v>6069.4354999999996</v>
      </c>
      <c r="T981" s="19" t="s">
        <v>36</v>
      </c>
      <c r="U981" s="20" t="s">
        <v>878</v>
      </c>
      <c r="V981" s="28">
        <v>43.5</v>
      </c>
      <c r="W981" s="22">
        <v>23</v>
      </c>
      <c r="X981" s="23"/>
    </row>
    <row r="982" spans="1:24" s="1" customFormat="1" ht="32.1" customHeight="1" x14ac:dyDescent="0.3">
      <c r="A982" s="24" t="s">
        <v>23</v>
      </c>
      <c r="B982" s="24" t="s">
        <v>971</v>
      </c>
      <c r="C982" s="27" t="s">
        <v>1445</v>
      </c>
      <c r="D982" s="55"/>
      <c r="E982" s="39" t="str">
        <f>HYPERLINK("https://www.google.ru/search?q=3028512-001&amp;newwindow=1&amp;tbm=isch","Еще фото")</f>
        <v>Еще фото</v>
      </c>
      <c r="F982" s="13" t="s">
        <v>98</v>
      </c>
      <c r="G982" s="24" t="s">
        <v>808</v>
      </c>
      <c r="H982" s="24" t="s">
        <v>593</v>
      </c>
      <c r="I982" s="24" t="s">
        <v>809</v>
      </c>
      <c r="J982" s="14" t="s">
        <v>892</v>
      </c>
      <c r="K982" s="15" t="s">
        <v>578</v>
      </c>
      <c r="L982" s="58"/>
      <c r="M982" s="14"/>
      <c r="N982" s="14" t="s">
        <v>33</v>
      </c>
      <c r="O982" s="14"/>
      <c r="P982" s="15" t="s">
        <v>1121</v>
      </c>
      <c r="Q982" s="16">
        <v>9599</v>
      </c>
      <c r="R982" s="17">
        <v>45.02</v>
      </c>
      <c r="S982" s="18">
        <v>6069.4354999999996</v>
      </c>
      <c r="T982" s="19" t="s">
        <v>36</v>
      </c>
      <c r="U982" s="20" t="s">
        <v>879</v>
      </c>
      <c r="V982" s="22">
        <v>44</v>
      </c>
      <c r="W982" s="22">
        <v>4</v>
      </c>
      <c r="X982" s="23"/>
    </row>
    <row r="983" spans="1:24" s="1" customFormat="1" ht="51.95" customHeight="1" x14ac:dyDescent="0.3">
      <c r="A983" s="11" t="s">
        <v>23</v>
      </c>
      <c r="B983" s="11" t="s">
        <v>1446</v>
      </c>
      <c r="C983" s="12" t="s">
        <v>1447</v>
      </c>
      <c r="D983" s="59"/>
      <c r="E983" s="39" t="str">
        <f>HYPERLINK("https://www.google.ru/search?q=3000097-602&amp;newwindow=1&amp;tbm=isch","Еще фото")</f>
        <v>Еще фото</v>
      </c>
      <c r="F983" s="13"/>
      <c r="G983" s="11" t="s">
        <v>808</v>
      </c>
      <c r="H983" s="11" t="s">
        <v>593</v>
      </c>
      <c r="I983" s="14" t="s">
        <v>809</v>
      </c>
      <c r="J983" s="14" t="s">
        <v>29</v>
      </c>
      <c r="K983" s="15" t="s">
        <v>64</v>
      </c>
      <c r="L983" s="56" t="s">
        <v>1448</v>
      </c>
      <c r="M983" s="14"/>
      <c r="N983" s="14" t="s">
        <v>57</v>
      </c>
      <c r="O983" s="14" t="s">
        <v>681</v>
      </c>
      <c r="P983" s="15" t="s">
        <v>1449</v>
      </c>
      <c r="Q983" s="16">
        <v>8199</v>
      </c>
      <c r="R983" s="17">
        <v>40</v>
      </c>
      <c r="S983" s="18">
        <v>5657.3099999999995</v>
      </c>
      <c r="T983" s="19" t="s">
        <v>36</v>
      </c>
      <c r="U983" s="20" t="s">
        <v>820</v>
      </c>
      <c r="V983" s="22">
        <v>36</v>
      </c>
      <c r="W983" s="22">
        <v>2</v>
      </c>
      <c r="X983" s="23"/>
    </row>
    <row r="984" spans="1:24" s="1" customFormat="1" ht="60.95" customHeight="1" x14ac:dyDescent="0.3">
      <c r="A984" s="24" t="s">
        <v>23</v>
      </c>
      <c r="B984" s="24" t="s">
        <v>1446</v>
      </c>
      <c r="C984" s="12" t="s">
        <v>1447</v>
      </c>
      <c r="D984" s="60"/>
      <c r="E984" s="39" t="str">
        <f>HYPERLINK("https://www.google.ru/search?q=3000097-602&amp;newwindow=1&amp;tbm=isch","Еще фото")</f>
        <v>Еще фото</v>
      </c>
      <c r="F984" s="13"/>
      <c r="G984" s="24" t="s">
        <v>808</v>
      </c>
      <c r="H984" s="24" t="s">
        <v>593</v>
      </c>
      <c r="I984" s="24" t="s">
        <v>809</v>
      </c>
      <c r="J984" s="14" t="s">
        <v>29</v>
      </c>
      <c r="K984" s="15" t="s">
        <v>64</v>
      </c>
      <c r="L984" s="58"/>
      <c r="M984" s="14"/>
      <c r="N984" s="14" t="s">
        <v>57</v>
      </c>
      <c r="O984" s="14" t="s">
        <v>681</v>
      </c>
      <c r="P984" s="15" t="s">
        <v>1449</v>
      </c>
      <c r="Q984" s="16">
        <v>8199</v>
      </c>
      <c r="R984" s="17">
        <v>40</v>
      </c>
      <c r="S984" s="18">
        <v>5657.3099999999995</v>
      </c>
      <c r="T984" s="19" t="s">
        <v>36</v>
      </c>
      <c r="U984" s="20" t="s">
        <v>598</v>
      </c>
      <c r="V984" s="22">
        <v>37</v>
      </c>
      <c r="W984" s="22">
        <v>1</v>
      </c>
      <c r="X984" s="23"/>
    </row>
    <row r="985" spans="1:24" s="1" customFormat="1" ht="108" customHeight="1" x14ac:dyDescent="0.3">
      <c r="A985" s="11" t="s">
        <v>23</v>
      </c>
      <c r="B985" s="11" t="s">
        <v>1450</v>
      </c>
      <c r="C985" s="12" t="s">
        <v>1451</v>
      </c>
      <c r="D985" s="25"/>
      <c r="E985" s="39" t="str">
        <f>HYPERLINK("https://www.google.ru/search?q=3020210-001&amp;newwindow=1&amp;tbm=isch","Еще фото")</f>
        <v>Еще фото</v>
      </c>
      <c r="F985" s="13"/>
      <c r="G985" s="11" t="s">
        <v>808</v>
      </c>
      <c r="H985" s="11" t="s">
        <v>593</v>
      </c>
      <c r="I985" s="14" t="s">
        <v>809</v>
      </c>
      <c r="J985" s="14" t="s">
        <v>29</v>
      </c>
      <c r="K985" s="15" t="s">
        <v>54</v>
      </c>
      <c r="L985" s="14" t="s">
        <v>1452</v>
      </c>
      <c r="M985" s="14" t="s">
        <v>49</v>
      </c>
      <c r="N985" s="14" t="s">
        <v>33</v>
      </c>
      <c r="O985" s="14" t="s">
        <v>34</v>
      </c>
      <c r="P985" s="15" t="s">
        <v>953</v>
      </c>
      <c r="Q985" s="16">
        <v>8790</v>
      </c>
      <c r="R985" s="17">
        <v>40</v>
      </c>
      <c r="S985" s="18">
        <v>6065.0999999999995</v>
      </c>
      <c r="T985" s="19" t="s">
        <v>36</v>
      </c>
      <c r="U985" s="20" t="s">
        <v>1453</v>
      </c>
      <c r="V985" s="22">
        <v>26</v>
      </c>
      <c r="W985" s="22">
        <v>1</v>
      </c>
      <c r="X985" s="23"/>
    </row>
    <row r="986" spans="1:24" s="1" customFormat="1" ht="35.1" customHeight="1" x14ac:dyDescent="0.3">
      <c r="A986" s="11" t="s">
        <v>23</v>
      </c>
      <c r="B986" s="11" t="s">
        <v>1454</v>
      </c>
      <c r="C986" s="12" t="s">
        <v>1455</v>
      </c>
      <c r="D986" s="53"/>
      <c r="E986" s="39" t="str">
        <f>HYPERLINK("https://www.google.ru/search?q=3022281-001&amp;newwindow=1&amp;tbm=isch","Еще фото")</f>
        <v>Еще фото</v>
      </c>
      <c r="F986" s="13"/>
      <c r="G986" s="11" t="s">
        <v>808</v>
      </c>
      <c r="H986" s="11" t="s">
        <v>593</v>
      </c>
      <c r="I986" s="14" t="s">
        <v>809</v>
      </c>
      <c r="J986" s="14" t="s">
        <v>29</v>
      </c>
      <c r="K986" s="15" t="s">
        <v>30</v>
      </c>
      <c r="L986" s="56" t="s">
        <v>1456</v>
      </c>
      <c r="M986" s="14" t="s">
        <v>49</v>
      </c>
      <c r="N986" s="14" t="s">
        <v>33</v>
      </c>
      <c r="O986" s="14"/>
      <c r="P986" s="15" t="s">
        <v>1457</v>
      </c>
      <c r="Q986" s="16">
        <v>11999</v>
      </c>
      <c r="R986" s="17">
        <v>40</v>
      </c>
      <c r="S986" s="18">
        <v>8279.31</v>
      </c>
      <c r="T986" s="19" t="s">
        <v>36</v>
      </c>
      <c r="U986" s="20" t="s">
        <v>604</v>
      </c>
      <c r="V986" s="22">
        <v>43</v>
      </c>
      <c r="W986" s="22">
        <v>9</v>
      </c>
      <c r="X986" s="23"/>
    </row>
    <row r="987" spans="1:24" s="1" customFormat="1" ht="35.1" customHeight="1" x14ac:dyDescent="0.3">
      <c r="A987" s="24" t="s">
        <v>23</v>
      </c>
      <c r="B987" s="24" t="s">
        <v>1454</v>
      </c>
      <c r="C987" s="12" t="s">
        <v>1455</v>
      </c>
      <c r="D987" s="54"/>
      <c r="E987" s="39" t="str">
        <f>HYPERLINK("https://www.google.ru/search?q=3022281-001&amp;newwindow=1&amp;tbm=isch","Еще фото")</f>
        <v>Еще фото</v>
      </c>
      <c r="F987" s="13"/>
      <c r="G987" s="24" t="s">
        <v>808</v>
      </c>
      <c r="H987" s="24" t="s">
        <v>593</v>
      </c>
      <c r="I987" s="24" t="s">
        <v>809</v>
      </c>
      <c r="J987" s="14" t="s">
        <v>29</v>
      </c>
      <c r="K987" s="15" t="s">
        <v>30</v>
      </c>
      <c r="L987" s="57"/>
      <c r="M987" s="14" t="s">
        <v>49</v>
      </c>
      <c r="N987" s="14" t="s">
        <v>33</v>
      </c>
      <c r="O987" s="14"/>
      <c r="P987" s="15" t="s">
        <v>1457</v>
      </c>
      <c r="Q987" s="16">
        <v>11999</v>
      </c>
      <c r="R987" s="17">
        <v>40</v>
      </c>
      <c r="S987" s="18">
        <v>8279.31</v>
      </c>
      <c r="T987" s="19" t="s">
        <v>36</v>
      </c>
      <c r="U987" s="20" t="s">
        <v>605</v>
      </c>
      <c r="V987" s="28">
        <v>43.5</v>
      </c>
      <c r="W987" s="22">
        <v>10</v>
      </c>
      <c r="X987" s="23"/>
    </row>
    <row r="988" spans="1:24" s="1" customFormat="1" ht="36.950000000000003" customHeight="1" x14ac:dyDescent="0.3">
      <c r="A988" s="24" t="s">
        <v>23</v>
      </c>
      <c r="B988" s="24" t="s">
        <v>1454</v>
      </c>
      <c r="C988" s="12" t="s">
        <v>1455</v>
      </c>
      <c r="D988" s="55"/>
      <c r="E988" s="39" t="str">
        <f>HYPERLINK("https://www.google.ru/search?q=3022281-001&amp;newwindow=1&amp;tbm=isch","Еще фото")</f>
        <v>Еще фото</v>
      </c>
      <c r="F988" s="13"/>
      <c r="G988" s="24" t="s">
        <v>808</v>
      </c>
      <c r="H988" s="24" t="s">
        <v>593</v>
      </c>
      <c r="I988" s="24" t="s">
        <v>809</v>
      </c>
      <c r="J988" s="14" t="s">
        <v>29</v>
      </c>
      <c r="K988" s="15" t="s">
        <v>30</v>
      </c>
      <c r="L988" s="58"/>
      <c r="M988" s="14" t="s">
        <v>49</v>
      </c>
      <c r="N988" s="14" t="s">
        <v>33</v>
      </c>
      <c r="O988" s="14"/>
      <c r="P988" s="15" t="s">
        <v>1457</v>
      </c>
      <c r="Q988" s="16">
        <v>11999</v>
      </c>
      <c r="R988" s="17">
        <v>40</v>
      </c>
      <c r="S988" s="18">
        <v>8279.31</v>
      </c>
      <c r="T988" s="19" t="s">
        <v>36</v>
      </c>
      <c r="U988" s="20" t="s">
        <v>606</v>
      </c>
      <c r="V988" s="22">
        <v>44</v>
      </c>
      <c r="W988" s="22">
        <v>8</v>
      </c>
      <c r="X988" s="23"/>
    </row>
    <row r="989" spans="1:24" s="1" customFormat="1" ht="35.1" customHeight="1" x14ac:dyDescent="0.3">
      <c r="A989" s="11" t="s">
        <v>23</v>
      </c>
      <c r="B989" s="11" t="s">
        <v>1458</v>
      </c>
      <c r="C989" s="12" t="s">
        <v>1459</v>
      </c>
      <c r="D989" s="53"/>
      <c r="E989" s="39" t="str">
        <f>HYPERLINK("https://www.google.ru/search?q=3022604-601&amp;newwindow=1&amp;tbm=isch","Еще фото")</f>
        <v>Еще фото</v>
      </c>
      <c r="F989" s="13"/>
      <c r="G989" s="11" t="s">
        <v>808</v>
      </c>
      <c r="H989" s="11" t="s">
        <v>593</v>
      </c>
      <c r="I989" s="14" t="s">
        <v>809</v>
      </c>
      <c r="J989" s="14" t="s">
        <v>29</v>
      </c>
      <c r="K989" s="15" t="s">
        <v>64</v>
      </c>
      <c r="L989" s="56" t="s">
        <v>1460</v>
      </c>
      <c r="M989" s="14" t="s">
        <v>959</v>
      </c>
      <c r="N989" s="14" t="s">
        <v>57</v>
      </c>
      <c r="O989" s="14" t="s">
        <v>34</v>
      </c>
      <c r="P989" s="15" t="s">
        <v>1461</v>
      </c>
      <c r="Q989" s="16">
        <v>6799</v>
      </c>
      <c r="R989" s="17">
        <v>40</v>
      </c>
      <c r="S989" s="18">
        <v>4691.3099999999995</v>
      </c>
      <c r="T989" s="19" t="s">
        <v>36</v>
      </c>
      <c r="U989" s="20" t="s">
        <v>820</v>
      </c>
      <c r="V989" s="22">
        <v>36</v>
      </c>
      <c r="W989" s="22">
        <v>1</v>
      </c>
      <c r="X989" s="23"/>
    </row>
    <row r="990" spans="1:24" s="1" customFormat="1" ht="35.1" customHeight="1" x14ac:dyDescent="0.3">
      <c r="A990" s="24" t="s">
        <v>23</v>
      </c>
      <c r="B990" s="24" t="s">
        <v>1458</v>
      </c>
      <c r="C990" s="12" t="s">
        <v>1459</v>
      </c>
      <c r="D990" s="54"/>
      <c r="E990" s="39" t="str">
        <f>HYPERLINK("https://www.google.ru/search?q=3022604-601&amp;newwindow=1&amp;tbm=isch","Еще фото")</f>
        <v>Еще фото</v>
      </c>
      <c r="F990" s="13"/>
      <c r="G990" s="24" t="s">
        <v>808</v>
      </c>
      <c r="H990" s="24" t="s">
        <v>593</v>
      </c>
      <c r="I990" s="24" t="s">
        <v>809</v>
      </c>
      <c r="J990" s="14" t="s">
        <v>29</v>
      </c>
      <c r="K990" s="15" t="s">
        <v>64</v>
      </c>
      <c r="L990" s="57"/>
      <c r="M990" s="14" t="s">
        <v>959</v>
      </c>
      <c r="N990" s="14" t="s">
        <v>57</v>
      </c>
      <c r="O990" s="14" t="s">
        <v>34</v>
      </c>
      <c r="P990" s="15" t="s">
        <v>1461</v>
      </c>
      <c r="Q990" s="16">
        <v>6799</v>
      </c>
      <c r="R990" s="17">
        <v>40</v>
      </c>
      <c r="S990" s="18">
        <v>4691.3099999999995</v>
      </c>
      <c r="T990" s="19" t="s">
        <v>36</v>
      </c>
      <c r="U990" s="20" t="s">
        <v>598</v>
      </c>
      <c r="V990" s="22">
        <v>37</v>
      </c>
      <c r="W990" s="22">
        <v>1</v>
      </c>
      <c r="X990" s="23"/>
    </row>
    <row r="991" spans="1:24" s="1" customFormat="1" ht="36.950000000000003" customHeight="1" x14ac:dyDescent="0.3">
      <c r="A991" s="24" t="s">
        <v>23</v>
      </c>
      <c r="B991" s="24" t="s">
        <v>1458</v>
      </c>
      <c r="C991" s="12" t="s">
        <v>1459</v>
      </c>
      <c r="D991" s="55"/>
      <c r="E991" s="39" t="str">
        <f>HYPERLINK("https://www.google.ru/search?q=3022604-601&amp;newwindow=1&amp;tbm=isch","Еще фото")</f>
        <v>Еще фото</v>
      </c>
      <c r="F991" s="13"/>
      <c r="G991" s="24" t="s">
        <v>808</v>
      </c>
      <c r="H991" s="24" t="s">
        <v>593</v>
      </c>
      <c r="I991" s="24" t="s">
        <v>809</v>
      </c>
      <c r="J991" s="14" t="s">
        <v>29</v>
      </c>
      <c r="K991" s="15" t="s">
        <v>64</v>
      </c>
      <c r="L991" s="58"/>
      <c r="M991" s="14" t="s">
        <v>959</v>
      </c>
      <c r="N991" s="14" t="s">
        <v>57</v>
      </c>
      <c r="O991" s="14" t="s">
        <v>34</v>
      </c>
      <c r="P991" s="15" t="s">
        <v>1461</v>
      </c>
      <c r="Q991" s="16">
        <v>6799</v>
      </c>
      <c r="R991" s="17">
        <v>40</v>
      </c>
      <c r="S991" s="18">
        <v>4691.3099999999995</v>
      </c>
      <c r="T991" s="19" t="s">
        <v>36</v>
      </c>
      <c r="U991" s="20" t="s">
        <v>599</v>
      </c>
      <c r="V991" s="28">
        <v>37.5</v>
      </c>
      <c r="W991" s="22">
        <v>1</v>
      </c>
      <c r="X991" s="23"/>
    </row>
    <row r="992" spans="1:24" s="1" customFormat="1" ht="26.1" customHeight="1" x14ac:dyDescent="0.3">
      <c r="A992" s="11" t="s">
        <v>23</v>
      </c>
      <c r="B992" s="11" t="s">
        <v>1462</v>
      </c>
      <c r="C992" s="12" t="s">
        <v>1463</v>
      </c>
      <c r="D992" s="53"/>
      <c r="E992" s="39" t="str">
        <f>HYPERLINK("https://www.google.ru/search?q=3023556-002&amp;newwindow=1&amp;tbm=isch","Еще фото")</f>
        <v>Еще фото</v>
      </c>
      <c r="F992" s="13"/>
      <c r="G992" s="11" t="s">
        <v>808</v>
      </c>
      <c r="H992" s="11" t="s">
        <v>593</v>
      </c>
      <c r="I992" s="14" t="s">
        <v>809</v>
      </c>
      <c r="J992" s="14" t="s">
        <v>29</v>
      </c>
      <c r="K992" s="15" t="s">
        <v>64</v>
      </c>
      <c r="L992" s="56" t="s">
        <v>1464</v>
      </c>
      <c r="M992" s="14" t="s">
        <v>824</v>
      </c>
      <c r="N992" s="14" t="s">
        <v>33</v>
      </c>
      <c r="O992" s="14" t="s">
        <v>34</v>
      </c>
      <c r="P992" s="15" t="s">
        <v>1465</v>
      </c>
      <c r="Q992" s="16">
        <v>21699</v>
      </c>
      <c r="R992" s="17">
        <v>40</v>
      </c>
      <c r="S992" s="18">
        <v>14972.309999999998</v>
      </c>
      <c r="T992" s="19" t="s">
        <v>36</v>
      </c>
      <c r="U992" s="20" t="s">
        <v>820</v>
      </c>
      <c r="V992" s="22">
        <v>36</v>
      </c>
      <c r="W992" s="22">
        <v>5</v>
      </c>
      <c r="X992" s="23"/>
    </row>
    <row r="993" spans="1:24" s="1" customFormat="1" ht="26.1" customHeight="1" x14ac:dyDescent="0.3">
      <c r="A993" s="24" t="s">
        <v>23</v>
      </c>
      <c r="B993" s="24" t="s">
        <v>1462</v>
      </c>
      <c r="C993" s="12" t="s">
        <v>1463</v>
      </c>
      <c r="D993" s="54"/>
      <c r="E993" s="39" t="str">
        <f>HYPERLINK("https://www.google.ru/search?q=3023556-002&amp;newwindow=1&amp;tbm=isch","Еще фото")</f>
        <v>Еще фото</v>
      </c>
      <c r="F993" s="13"/>
      <c r="G993" s="24" t="s">
        <v>808</v>
      </c>
      <c r="H993" s="24" t="s">
        <v>593</v>
      </c>
      <c r="I993" s="24" t="s">
        <v>809</v>
      </c>
      <c r="J993" s="14" t="s">
        <v>29</v>
      </c>
      <c r="K993" s="15" t="s">
        <v>64</v>
      </c>
      <c r="L993" s="57"/>
      <c r="M993" s="14" t="s">
        <v>824</v>
      </c>
      <c r="N993" s="14" t="s">
        <v>33</v>
      </c>
      <c r="O993" s="14" t="s">
        <v>34</v>
      </c>
      <c r="P993" s="15" t="s">
        <v>1465</v>
      </c>
      <c r="Q993" s="16">
        <v>21699</v>
      </c>
      <c r="R993" s="17">
        <v>40</v>
      </c>
      <c r="S993" s="18">
        <v>14972.309999999998</v>
      </c>
      <c r="T993" s="19" t="s">
        <v>36</v>
      </c>
      <c r="U993" s="20" t="s">
        <v>814</v>
      </c>
      <c r="V993" s="28">
        <v>36.5</v>
      </c>
      <c r="W993" s="22">
        <v>3</v>
      </c>
      <c r="X993" s="23"/>
    </row>
    <row r="994" spans="1:24" s="1" customFormat="1" ht="26.1" customHeight="1" x14ac:dyDescent="0.3">
      <c r="A994" s="24" t="s">
        <v>23</v>
      </c>
      <c r="B994" s="24" t="s">
        <v>1462</v>
      </c>
      <c r="C994" s="12" t="s">
        <v>1463</v>
      </c>
      <c r="D994" s="54"/>
      <c r="E994" s="39" t="str">
        <f>HYPERLINK("https://www.google.ru/search?q=3023556-002&amp;newwindow=1&amp;tbm=isch","Еще фото")</f>
        <v>Еще фото</v>
      </c>
      <c r="F994" s="13"/>
      <c r="G994" s="24" t="s">
        <v>808</v>
      </c>
      <c r="H994" s="24" t="s">
        <v>593</v>
      </c>
      <c r="I994" s="24" t="s">
        <v>809</v>
      </c>
      <c r="J994" s="14" t="s">
        <v>29</v>
      </c>
      <c r="K994" s="15" t="s">
        <v>64</v>
      </c>
      <c r="L994" s="57"/>
      <c r="M994" s="14" t="s">
        <v>824</v>
      </c>
      <c r="N994" s="14" t="s">
        <v>33</v>
      </c>
      <c r="O994" s="14" t="s">
        <v>34</v>
      </c>
      <c r="P994" s="15" t="s">
        <v>1465</v>
      </c>
      <c r="Q994" s="16">
        <v>21699</v>
      </c>
      <c r="R994" s="17">
        <v>40</v>
      </c>
      <c r="S994" s="18">
        <v>14972.309999999998</v>
      </c>
      <c r="T994" s="19" t="s">
        <v>36</v>
      </c>
      <c r="U994" s="20" t="s">
        <v>598</v>
      </c>
      <c r="V994" s="22">
        <v>37</v>
      </c>
      <c r="W994" s="22">
        <v>3</v>
      </c>
      <c r="X994" s="23"/>
    </row>
    <row r="995" spans="1:24" s="1" customFormat="1" ht="26.1" customHeight="1" x14ac:dyDescent="0.3">
      <c r="A995" s="24" t="s">
        <v>23</v>
      </c>
      <c r="B995" s="24" t="s">
        <v>1462</v>
      </c>
      <c r="C995" s="12" t="s">
        <v>1463</v>
      </c>
      <c r="D995" s="55"/>
      <c r="E995" s="39" t="str">
        <f>HYPERLINK("https://www.google.ru/search?q=3023556-002&amp;newwindow=1&amp;tbm=isch","Еще фото")</f>
        <v>Еще фото</v>
      </c>
      <c r="F995" s="13"/>
      <c r="G995" s="24" t="s">
        <v>808</v>
      </c>
      <c r="H995" s="24" t="s">
        <v>593</v>
      </c>
      <c r="I995" s="24" t="s">
        <v>809</v>
      </c>
      <c r="J995" s="14" t="s">
        <v>29</v>
      </c>
      <c r="K995" s="15" t="s">
        <v>64</v>
      </c>
      <c r="L995" s="58"/>
      <c r="M995" s="14" t="s">
        <v>824</v>
      </c>
      <c r="N995" s="14" t="s">
        <v>33</v>
      </c>
      <c r="O995" s="14" t="s">
        <v>34</v>
      </c>
      <c r="P995" s="15" t="s">
        <v>1465</v>
      </c>
      <c r="Q995" s="16">
        <v>21699</v>
      </c>
      <c r="R995" s="17">
        <v>40</v>
      </c>
      <c r="S995" s="18">
        <v>14972.309999999998</v>
      </c>
      <c r="T995" s="19" t="s">
        <v>36</v>
      </c>
      <c r="U995" s="20" t="s">
        <v>599</v>
      </c>
      <c r="V995" s="28">
        <v>37.5</v>
      </c>
      <c r="W995" s="22">
        <v>6</v>
      </c>
      <c r="X995" s="23"/>
    </row>
    <row r="996" spans="1:24" s="1" customFormat="1" ht="51.95" customHeight="1" x14ac:dyDescent="0.3">
      <c r="A996" s="11" t="s">
        <v>23</v>
      </c>
      <c r="B996" s="11" t="s">
        <v>1368</v>
      </c>
      <c r="C996" s="12" t="s">
        <v>1466</v>
      </c>
      <c r="D996" s="59"/>
      <c r="E996" s="39" t="str">
        <f>HYPERLINK("https://www.google.ru/search?q=3023559-601&amp;newwindow=1&amp;tbm=isch","Еще фото")</f>
        <v>Еще фото</v>
      </c>
      <c r="F996" s="13"/>
      <c r="G996" s="11" t="s">
        <v>808</v>
      </c>
      <c r="H996" s="11" t="s">
        <v>593</v>
      </c>
      <c r="I996" s="14" t="s">
        <v>809</v>
      </c>
      <c r="J996" s="14" t="s">
        <v>29</v>
      </c>
      <c r="K996" s="15" t="s">
        <v>64</v>
      </c>
      <c r="L996" s="56" t="s">
        <v>1370</v>
      </c>
      <c r="M996" s="14" t="s">
        <v>824</v>
      </c>
      <c r="N996" s="14" t="s">
        <v>140</v>
      </c>
      <c r="O996" s="14" t="s">
        <v>34</v>
      </c>
      <c r="P996" s="15" t="s">
        <v>1425</v>
      </c>
      <c r="Q996" s="16">
        <v>19299</v>
      </c>
      <c r="R996" s="17">
        <v>40</v>
      </c>
      <c r="S996" s="18">
        <v>13316.309999999998</v>
      </c>
      <c r="T996" s="19" t="s">
        <v>36</v>
      </c>
      <c r="U996" s="20" t="s">
        <v>814</v>
      </c>
      <c r="V996" s="28">
        <v>36.5</v>
      </c>
      <c r="W996" s="22">
        <v>1</v>
      </c>
      <c r="X996" s="23"/>
    </row>
    <row r="997" spans="1:24" s="1" customFormat="1" ht="60.95" customHeight="1" x14ac:dyDescent="0.3">
      <c r="A997" s="24" t="s">
        <v>23</v>
      </c>
      <c r="B997" s="24" t="s">
        <v>1368</v>
      </c>
      <c r="C997" s="12" t="s">
        <v>1466</v>
      </c>
      <c r="D997" s="60"/>
      <c r="E997" s="39" t="str">
        <f>HYPERLINK("https://www.google.ru/search?q=3023559-601&amp;newwindow=1&amp;tbm=isch","Еще фото")</f>
        <v>Еще фото</v>
      </c>
      <c r="F997" s="13"/>
      <c r="G997" s="24" t="s">
        <v>808</v>
      </c>
      <c r="H997" s="24" t="s">
        <v>593</v>
      </c>
      <c r="I997" s="24" t="s">
        <v>809</v>
      </c>
      <c r="J997" s="14" t="s">
        <v>29</v>
      </c>
      <c r="K997" s="15" t="s">
        <v>64</v>
      </c>
      <c r="L997" s="58"/>
      <c r="M997" s="14" t="s">
        <v>824</v>
      </c>
      <c r="N997" s="14" t="s">
        <v>140</v>
      </c>
      <c r="O997" s="14" t="s">
        <v>34</v>
      </c>
      <c r="P997" s="15" t="s">
        <v>1425</v>
      </c>
      <c r="Q997" s="16">
        <v>19299</v>
      </c>
      <c r="R997" s="17">
        <v>40</v>
      </c>
      <c r="S997" s="18">
        <v>13316.309999999998</v>
      </c>
      <c r="T997" s="19" t="s">
        <v>36</v>
      </c>
      <c r="U997" s="20" t="s">
        <v>598</v>
      </c>
      <c r="V997" s="22">
        <v>37</v>
      </c>
      <c r="W997" s="22">
        <v>2</v>
      </c>
      <c r="X997" s="23"/>
    </row>
    <row r="998" spans="1:24" s="1" customFormat="1" ht="51.95" customHeight="1" x14ac:dyDescent="0.3">
      <c r="A998" s="11" t="s">
        <v>23</v>
      </c>
      <c r="B998" s="11" t="s">
        <v>1467</v>
      </c>
      <c r="C998" s="12" t="s">
        <v>1468</v>
      </c>
      <c r="D998" s="59"/>
      <c r="E998" s="39" t="str">
        <f>HYPERLINK("https://www.google.ru/search?q=3023640-001&amp;newwindow=1&amp;tbm=isch","Еще фото")</f>
        <v>Еще фото</v>
      </c>
      <c r="F998" s="13"/>
      <c r="G998" s="11" t="s">
        <v>808</v>
      </c>
      <c r="H998" s="11" t="s">
        <v>593</v>
      </c>
      <c r="I998" s="14" t="s">
        <v>809</v>
      </c>
      <c r="J998" s="14" t="s">
        <v>29</v>
      </c>
      <c r="K998" s="15" t="s">
        <v>64</v>
      </c>
      <c r="L998" s="56" t="s">
        <v>1469</v>
      </c>
      <c r="M998" s="14" t="s">
        <v>49</v>
      </c>
      <c r="N998" s="14" t="s">
        <v>33</v>
      </c>
      <c r="O998" s="14" t="s">
        <v>34</v>
      </c>
      <c r="P998" s="15" t="s">
        <v>1470</v>
      </c>
      <c r="Q998" s="16">
        <v>6899</v>
      </c>
      <c r="R998" s="17">
        <v>40</v>
      </c>
      <c r="S998" s="18">
        <v>4760.3099999999995</v>
      </c>
      <c r="T998" s="19" t="s">
        <v>36</v>
      </c>
      <c r="U998" s="20" t="s">
        <v>820</v>
      </c>
      <c r="V998" s="22">
        <v>36</v>
      </c>
      <c r="W998" s="22">
        <v>1</v>
      </c>
      <c r="X998" s="23"/>
    </row>
    <row r="999" spans="1:24" s="1" customFormat="1" ht="60.95" customHeight="1" x14ac:dyDescent="0.3">
      <c r="A999" s="24" t="s">
        <v>23</v>
      </c>
      <c r="B999" s="24" t="s">
        <v>1467</v>
      </c>
      <c r="C999" s="12" t="s">
        <v>1468</v>
      </c>
      <c r="D999" s="60"/>
      <c r="E999" s="39" t="str">
        <f>HYPERLINK("https://www.google.ru/search?q=3023640-001&amp;newwindow=1&amp;tbm=isch","Еще фото")</f>
        <v>Еще фото</v>
      </c>
      <c r="F999" s="13"/>
      <c r="G999" s="24" t="s">
        <v>808</v>
      </c>
      <c r="H999" s="24" t="s">
        <v>593</v>
      </c>
      <c r="I999" s="24" t="s">
        <v>809</v>
      </c>
      <c r="J999" s="14" t="s">
        <v>29</v>
      </c>
      <c r="K999" s="15" t="s">
        <v>64</v>
      </c>
      <c r="L999" s="58"/>
      <c r="M999" s="14" t="s">
        <v>49</v>
      </c>
      <c r="N999" s="14" t="s">
        <v>33</v>
      </c>
      <c r="O999" s="14" t="s">
        <v>34</v>
      </c>
      <c r="P999" s="15" t="s">
        <v>1470</v>
      </c>
      <c r="Q999" s="16">
        <v>6899</v>
      </c>
      <c r="R999" s="17">
        <v>40</v>
      </c>
      <c r="S999" s="18">
        <v>4760.3099999999995</v>
      </c>
      <c r="T999" s="19" t="s">
        <v>36</v>
      </c>
      <c r="U999" s="20" t="s">
        <v>598</v>
      </c>
      <c r="V999" s="22">
        <v>37</v>
      </c>
      <c r="W999" s="22">
        <v>4</v>
      </c>
      <c r="X999" s="23"/>
    </row>
    <row r="1000" spans="1:24" s="1" customFormat="1" ht="35.1" customHeight="1" x14ac:dyDescent="0.3">
      <c r="A1000" s="11" t="s">
        <v>23</v>
      </c>
      <c r="B1000" s="11" t="s">
        <v>912</v>
      </c>
      <c r="C1000" s="12" t="s">
        <v>1471</v>
      </c>
      <c r="D1000" s="53"/>
      <c r="E1000" s="39" t="str">
        <f>HYPERLINK("https://www.google.ru/search?q=3024131-001&amp;newwindow=1&amp;tbm=isch","Еще фото")</f>
        <v>Еще фото</v>
      </c>
      <c r="F1000" s="13"/>
      <c r="G1000" s="11" t="s">
        <v>808</v>
      </c>
      <c r="H1000" s="11" t="s">
        <v>593</v>
      </c>
      <c r="I1000" s="14" t="s">
        <v>809</v>
      </c>
      <c r="J1000" s="14" t="s">
        <v>29</v>
      </c>
      <c r="K1000" s="15" t="s">
        <v>64</v>
      </c>
      <c r="L1000" s="56" t="s">
        <v>914</v>
      </c>
      <c r="M1000" s="14" t="s">
        <v>49</v>
      </c>
      <c r="N1000" s="14" t="s">
        <v>33</v>
      </c>
      <c r="O1000" s="14" t="s">
        <v>34</v>
      </c>
      <c r="P1000" s="15" t="s">
        <v>915</v>
      </c>
      <c r="Q1000" s="16">
        <v>7499</v>
      </c>
      <c r="R1000" s="17">
        <v>40</v>
      </c>
      <c r="S1000" s="18">
        <v>5174.3099999999995</v>
      </c>
      <c r="T1000" s="19" t="s">
        <v>36</v>
      </c>
      <c r="U1000" s="20" t="s">
        <v>813</v>
      </c>
      <c r="V1000" s="28">
        <v>35.5</v>
      </c>
      <c r="W1000" s="22">
        <v>2</v>
      </c>
      <c r="X1000" s="23"/>
    </row>
    <row r="1001" spans="1:24" s="1" customFormat="1" ht="35.1" customHeight="1" x14ac:dyDescent="0.3">
      <c r="A1001" s="24" t="s">
        <v>23</v>
      </c>
      <c r="B1001" s="24" t="s">
        <v>912</v>
      </c>
      <c r="C1001" s="12" t="s">
        <v>1471</v>
      </c>
      <c r="D1001" s="54"/>
      <c r="E1001" s="39" t="str">
        <f>HYPERLINK("https://www.google.ru/search?q=3024131-001&amp;newwindow=1&amp;tbm=isch","Еще фото")</f>
        <v>Еще фото</v>
      </c>
      <c r="F1001" s="13"/>
      <c r="G1001" s="24" t="s">
        <v>808</v>
      </c>
      <c r="H1001" s="24" t="s">
        <v>593</v>
      </c>
      <c r="I1001" s="24" t="s">
        <v>809</v>
      </c>
      <c r="J1001" s="14" t="s">
        <v>29</v>
      </c>
      <c r="K1001" s="15" t="s">
        <v>64</v>
      </c>
      <c r="L1001" s="57"/>
      <c r="M1001" s="14" t="s">
        <v>49</v>
      </c>
      <c r="N1001" s="14" t="s">
        <v>33</v>
      </c>
      <c r="O1001" s="14" t="s">
        <v>34</v>
      </c>
      <c r="P1001" s="15" t="s">
        <v>915</v>
      </c>
      <c r="Q1001" s="16">
        <v>7499</v>
      </c>
      <c r="R1001" s="17">
        <v>40</v>
      </c>
      <c r="S1001" s="18">
        <v>5174.3099999999995</v>
      </c>
      <c r="T1001" s="19" t="s">
        <v>36</v>
      </c>
      <c r="U1001" s="20" t="s">
        <v>820</v>
      </c>
      <c r="V1001" s="22">
        <v>36</v>
      </c>
      <c r="W1001" s="22">
        <v>2</v>
      </c>
      <c r="X1001" s="23"/>
    </row>
    <row r="1002" spans="1:24" s="1" customFormat="1" ht="36.950000000000003" customHeight="1" x14ac:dyDescent="0.3">
      <c r="A1002" s="24" t="s">
        <v>23</v>
      </c>
      <c r="B1002" s="24" t="s">
        <v>912</v>
      </c>
      <c r="C1002" s="12" t="s">
        <v>1471</v>
      </c>
      <c r="D1002" s="55"/>
      <c r="E1002" s="39" t="str">
        <f>HYPERLINK("https://www.google.ru/search?q=3024131-001&amp;newwindow=1&amp;tbm=isch","Еще фото")</f>
        <v>Еще фото</v>
      </c>
      <c r="F1002" s="13"/>
      <c r="G1002" s="24" t="s">
        <v>808</v>
      </c>
      <c r="H1002" s="24" t="s">
        <v>593</v>
      </c>
      <c r="I1002" s="24" t="s">
        <v>809</v>
      </c>
      <c r="J1002" s="14" t="s">
        <v>29</v>
      </c>
      <c r="K1002" s="15" t="s">
        <v>64</v>
      </c>
      <c r="L1002" s="58"/>
      <c r="M1002" s="14" t="s">
        <v>49</v>
      </c>
      <c r="N1002" s="14" t="s">
        <v>33</v>
      </c>
      <c r="O1002" s="14" t="s">
        <v>34</v>
      </c>
      <c r="P1002" s="15" t="s">
        <v>915</v>
      </c>
      <c r="Q1002" s="16">
        <v>7499</v>
      </c>
      <c r="R1002" s="17">
        <v>40</v>
      </c>
      <c r="S1002" s="18">
        <v>5174.3099999999995</v>
      </c>
      <c r="T1002" s="19" t="s">
        <v>36</v>
      </c>
      <c r="U1002" s="20" t="s">
        <v>598</v>
      </c>
      <c r="V1002" s="22">
        <v>37</v>
      </c>
      <c r="W1002" s="22">
        <v>1</v>
      </c>
      <c r="X1002" s="23"/>
    </row>
    <row r="1003" spans="1:24" s="1" customFormat="1" ht="35.1" customHeight="1" x14ac:dyDescent="0.3">
      <c r="A1003" s="11" t="s">
        <v>23</v>
      </c>
      <c r="B1003" s="11" t="s">
        <v>912</v>
      </c>
      <c r="C1003" s="12" t="s">
        <v>1472</v>
      </c>
      <c r="D1003" s="53"/>
      <c r="E1003" s="39" t="str">
        <f>HYPERLINK("https://www.google.ru/search?q=3024131-105&amp;newwindow=1&amp;tbm=isch","Еще фото")</f>
        <v>Еще фото</v>
      </c>
      <c r="F1003" s="13"/>
      <c r="G1003" s="11" t="s">
        <v>808</v>
      </c>
      <c r="H1003" s="11" t="s">
        <v>593</v>
      </c>
      <c r="I1003" s="14" t="s">
        <v>809</v>
      </c>
      <c r="J1003" s="14" t="s">
        <v>29</v>
      </c>
      <c r="K1003" s="15" t="s">
        <v>64</v>
      </c>
      <c r="L1003" s="56" t="s">
        <v>914</v>
      </c>
      <c r="M1003" s="14" t="s">
        <v>49</v>
      </c>
      <c r="N1003" s="14" t="s">
        <v>84</v>
      </c>
      <c r="O1003" s="14" t="s">
        <v>34</v>
      </c>
      <c r="P1003" s="15" t="s">
        <v>915</v>
      </c>
      <c r="Q1003" s="16">
        <v>7499</v>
      </c>
      <c r="R1003" s="17">
        <v>40</v>
      </c>
      <c r="S1003" s="18">
        <v>5174.3099999999995</v>
      </c>
      <c r="T1003" s="19" t="s">
        <v>36</v>
      </c>
      <c r="U1003" s="20" t="s">
        <v>820</v>
      </c>
      <c r="V1003" s="22">
        <v>36</v>
      </c>
      <c r="W1003" s="22">
        <v>5</v>
      </c>
      <c r="X1003" s="23"/>
    </row>
    <row r="1004" spans="1:24" s="1" customFormat="1" ht="35.1" customHeight="1" x14ac:dyDescent="0.3">
      <c r="A1004" s="24" t="s">
        <v>23</v>
      </c>
      <c r="B1004" s="24" t="s">
        <v>912</v>
      </c>
      <c r="C1004" s="12" t="s">
        <v>1472</v>
      </c>
      <c r="D1004" s="54"/>
      <c r="E1004" s="39" t="str">
        <f>HYPERLINK("https://www.google.ru/search?q=3024131-105&amp;newwindow=1&amp;tbm=isch","Еще фото")</f>
        <v>Еще фото</v>
      </c>
      <c r="F1004" s="13"/>
      <c r="G1004" s="24" t="s">
        <v>808</v>
      </c>
      <c r="H1004" s="24" t="s">
        <v>593</v>
      </c>
      <c r="I1004" s="24" t="s">
        <v>809</v>
      </c>
      <c r="J1004" s="14" t="s">
        <v>29</v>
      </c>
      <c r="K1004" s="15" t="s">
        <v>64</v>
      </c>
      <c r="L1004" s="57"/>
      <c r="M1004" s="14" t="s">
        <v>49</v>
      </c>
      <c r="N1004" s="14" t="s">
        <v>84</v>
      </c>
      <c r="O1004" s="14" t="s">
        <v>34</v>
      </c>
      <c r="P1004" s="15" t="s">
        <v>915</v>
      </c>
      <c r="Q1004" s="16">
        <v>7499</v>
      </c>
      <c r="R1004" s="17">
        <v>40</v>
      </c>
      <c r="S1004" s="18">
        <v>5174.3099999999995</v>
      </c>
      <c r="T1004" s="19" t="s">
        <v>36</v>
      </c>
      <c r="U1004" s="20" t="s">
        <v>814</v>
      </c>
      <c r="V1004" s="28">
        <v>36.5</v>
      </c>
      <c r="W1004" s="22">
        <v>2</v>
      </c>
      <c r="X1004" s="23"/>
    </row>
    <row r="1005" spans="1:24" s="1" customFormat="1" ht="36.950000000000003" customHeight="1" x14ac:dyDescent="0.3">
      <c r="A1005" s="24" t="s">
        <v>23</v>
      </c>
      <c r="B1005" s="24" t="s">
        <v>912</v>
      </c>
      <c r="C1005" s="12" t="s">
        <v>1472</v>
      </c>
      <c r="D1005" s="55"/>
      <c r="E1005" s="39" t="str">
        <f>HYPERLINK("https://www.google.ru/search?q=3024131-105&amp;newwindow=1&amp;tbm=isch","Еще фото")</f>
        <v>Еще фото</v>
      </c>
      <c r="F1005" s="13"/>
      <c r="G1005" s="24" t="s">
        <v>808</v>
      </c>
      <c r="H1005" s="24" t="s">
        <v>593</v>
      </c>
      <c r="I1005" s="24" t="s">
        <v>809</v>
      </c>
      <c r="J1005" s="14" t="s">
        <v>29</v>
      </c>
      <c r="K1005" s="15" t="s">
        <v>64</v>
      </c>
      <c r="L1005" s="58"/>
      <c r="M1005" s="14" t="s">
        <v>49</v>
      </c>
      <c r="N1005" s="14" t="s">
        <v>84</v>
      </c>
      <c r="O1005" s="14" t="s">
        <v>34</v>
      </c>
      <c r="P1005" s="15" t="s">
        <v>915</v>
      </c>
      <c r="Q1005" s="16">
        <v>7499</v>
      </c>
      <c r="R1005" s="17">
        <v>40</v>
      </c>
      <c r="S1005" s="18">
        <v>5174.3099999999995</v>
      </c>
      <c r="T1005" s="19" t="s">
        <v>36</v>
      </c>
      <c r="U1005" s="20" t="s">
        <v>598</v>
      </c>
      <c r="V1005" s="22">
        <v>37</v>
      </c>
      <c r="W1005" s="22">
        <v>1</v>
      </c>
      <c r="X1005" s="23"/>
    </row>
    <row r="1006" spans="1:24" s="1" customFormat="1" ht="108" customHeight="1" x14ac:dyDescent="0.3">
      <c r="A1006" s="11" t="s">
        <v>23</v>
      </c>
      <c r="B1006" s="11" t="s">
        <v>1473</v>
      </c>
      <c r="C1006" s="12" t="s">
        <v>1474</v>
      </c>
      <c r="D1006" s="25"/>
      <c r="E1006" s="39" t="str">
        <f>HYPERLINK("https://www.google.ru/search?q=3024186-001&amp;newwindow=1&amp;tbm=isch","Еще фото")</f>
        <v>Еще фото</v>
      </c>
      <c r="F1006" s="13"/>
      <c r="G1006" s="11" t="s">
        <v>808</v>
      </c>
      <c r="H1006" s="11" t="s">
        <v>593</v>
      </c>
      <c r="I1006" s="14" t="s">
        <v>809</v>
      </c>
      <c r="J1006" s="14" t="s">
        <v>29</v>
      </c>
      <c r="K1006" s="15" t="s">
        <v>30</v>
      </c>
      <c r="L1006" s="14" t="s">
        <v>1475</v>
      </c>
      <c r="M1006" s="14" t="s">
        <v>811</v>
      </c>
      <c r="N1006" s="14" t="s">
        <v>33</v>
      </c>
      <c r="O1006" s="14"/>
      <c r="P1006" s="15" t="s">
        <v>1476</v>
      </c>
      <c r="Q1006" s="16">
        <v>14999</v>
      </c>
      <c r="R1006" s="17">
        <v>40</v>
      </c>
      <c r="S1006" s="18">
        <v>10349.31</v>
      </c>
      <c r="T1006" s="19" t="s">
        <v>36</v>
      </c>
      <c r="U1006" s="20" t="s">
        <v>599</v>
      </c>
      <c r="V1006" s="28">
        <v>39.5</v>
      </c>
      <c r="W1006" s="22">
        <v>1</v>
      </c>
      <c r="X1006" s="23"/>
    </row>
    <row r="1007" spans="1:24" s="1" customFormat="1" ht="108" customHeight="1" x14ac:dyDescent="0.3">
      <c r="A1007" s="11" t="s">
        <v>23</v>
      </c>
      <c r="B1007" s="11" t="s">
        <v>1477</v>
      </c>
      <c r="C1007" s="12" t="s">
        <v>1478</v>
      </c>
      <c r="D1007" s="25"/>
      <c r="E1007" s="39" t="str">
        <f>HYPERLINK("https://www.google.ru/search?q=3024186-102&amp;newwindow=1&amp;tbm=isch","Еще фото")</f>
        <v>Еще фото</v>
      </c>
      <c r="F1007" s="13"/>
      <c r="G1007" s="11" t="s">
        <v>808</v>
      </c>
      <c r="H1007" s="11" t="s">
        <v>593</v>
      </c>
      <c r="I1007" s="14" t="s">
        <v>809</v>
      </c>
      <c r="J1007" s="14" t="s">
        <v>29</v>
      </c>
      <c r="K1007" s="15" t="s">
        <v>30</v>
      </c>
      <c r="L1007" s="14" t="s">
        <v>1475</v>
      </c>
      <c r="M1007" s="14" t="s">
        <v>811</v>
      </c>
      <c r="N1007" s="14" t="s">
        <v>1479</v>
      </c>
      <c r="O1007" s="14"/>
      <c r="P1007" s="15" t="s">
        <v>1476</v>
      </c>
      <c r="Q1007" s="16">
        <v>14999</v>
      </c>
      <c r="R1007" s="17">
        <v>40</v>
      </c>
      <c r="S1007" s="18">
        <v>10349.31</v>
      </c>
      <c r="T1007" s="19" t="s">
        <v>36</v>
      </c>
      <c r="U1007" s="20" t="s">
        <v>598</v>
      </c>
      <c r="V1007" s="22">
        <v>39</v>
      </c>
      <c r="W1007" s="22">
        <v>2</v>
      </c>
      <c r="X1007" s="23"/>
    </row>
    <row r="1008" spans="1:24" s="1" customFormat="1" ht="51.95" customHeight="1" x14ac:dyDescent="0.3">
      <c r="A1008" s="11" t="s">
        <v>23</v>
      </c>
      <c r="B1008" s="11" t="s">
        <v>1480</v>
      </c>
      <c r="C1008" s="12" t="s">
        <v>1481</v>
      </c>
      <c r="D1008" s="59"/>
      <c r="E1008" s="39" t="str">
        <f>HYPERLINK("https://www.google.ru/search?q=3024877-001&amp;newwindow=1&amp;tbm=isch","Еще фото")</f>
        <v>Еще фото</v>
      </c>
      <c r="F1008" s="13"/>
      <c r="G1008" s="11" t="s">
        <v>808</v>
      </c>
      <c r="H1008" s="11" t="s">
        <v>593</v>
      </c>
      <c r="I1008" s="14" t="s">
        <v>809</v>
      </c>
      <c r="J1008" s="14" t="s">
        <v>29</v>
      </c>
      <c r="K1008" s="15" t="s">
        <v>30</v>
      </c>
      <c r="L1008" s="56" t="s">
        <v>989</v>
      </c>
      <c r="M1008" s="14" t="s">
        <v>811</v>
      </c>
      <c r="N1008" s="14" t="s">
        <v>430</v>
      </c>
      <c r="O1008" s="14"/>
      <c r="P1008" s="15" t="s">
        <v>1049</v>
      </c>
      <c r="Q1008" s="16">
        <v>10999</v>
      </c>
      <c r="R1008" s="17">
        <v>40</v>
      </c>
      <c r="S1008" s="18">
        <v>7589.3099999999986</v>
      </c>
      <c r="T1008" s="19" t="s">
        <v>36</v>
      </c>
      <c r="U1008" s="20" t="s">
        <v>599</v>
      </c>
      <c r="V1008" s="28">
        <v>39.5</v>
      </c>
      <c r="W1008" s="22">
        <v>2</v>
      </c>
      <c r="X1008" s="23"/>
    </row>
    <row r="1009" spans="1:24" s="1" customFormat="1" ht="60.95" customHeight="1" x14ac:dyDescent="0.3">
      <c r="A1009" s="24" t="s">
        <v>23</v>
      </c>
      <c r="B1009" s="24" t="s">
        <v>1480</v>
      </c>
      <c r="C1009" s="12" t="s">
        <v>1481</v>
      </c>
      <c r="D1009" s="60"/>
      <c r="E1009" s="39" t="str">
        <f>HYPERLINK("https://www.google.ru/search?q=3024877-001&amp;newwindow=1&amp;tbm=isch","Еще фото")</f>
        <v>Еще фото</v>
      </c>
      <c r="F1009" s="13"/>
      <c r="G1009" s="24" t="s">
        <v>808</v>
      </c>
      <c r="H1009" s="24" t="s">
        <v>593</v>
      </c>
      <c r="I1009" s="24" t="s">
        <v>809</v>
      </c>
      <c r="J1009" s="14" t="s">
        <v>29</v>
      </c>
      <c r="K1009" s="15" t="s">
        <v>30</v>
      </c>
      <c r="L1009" s="58"/>
      <c r="M1009" s="14" t="s">
        <v>811</v>
      </c>
      <c r="N1009" s="14" t="s">
        <v>430</v>
      </c>
      <c r="O1009" s="14"/>
      <c r="P1009" s="15" t="s">
        <v>1049</v>
      </c>
      <c r="Q1009" s="16">
        <v>10999</v>
      </c>
      <c r="R1009" s="17">
        <v>40</v>
      </c>
      <c r="S1009" s="18">
        <v>7589.3099999999986</v>
      </c>
      <c r="T1009" s="19" t="s">
        <v>36</v>
      </c>
      <c r="U1009" s="20" t="s">
        <v>600</v>
      </c>
      <c r="V1009" s="22">
        <v>40</v>
      </c>
      <c r="W1009" s="22">
        <v>1</v>
      </c>
      <c r="X1009" s="23"/>
    </row>
    <row r="1010" spans="1:24" s="1" customFormat="1" ht="35.1" customHeight="1" x14ac:dyDescent="0.3">
      <c r="A1010" s="11" t="s">
        <v>23</v>
      </c>
      <c r="B1010" s="11" t="s">
        <v>1430</v>
      </c>
      <c r="C1010" s="12" t="s">
        <v>1482</v>
      </c>
      <c r="D1010" s="53"/>
      <c r="E1010" s="39" t="str">
        <f>HYPERLINK("https://www.google.ru/search?q=3024878-001&amp;newwindow=1&amp;tbm=isch","Еще фото")</f>
        <v>Еще фото</v>
      </c>
      <c r="F1010" s="13"/>
      <c r="G1010" s="11" t="s">
        <v>808</v>
      </c>
      <c r="H1010" s="11" t="s">
        <v>593</v>
      </c>
      <c r="I1010" s="14" t="s">
        <v>809</v>
      </c>
      <c r="J1010" s="14" t="s">
        <v>29</v>
      </c>
      <c r="K1010" s="15" t="s">
        <v>30</v>
      </c>
      <c r="L1010" s="56" t="s">
        <v>1432</v>
      </c>
      <c r="M1010" s="14" t="s">
        <v>811</v>
      </c>
      <c r="N1010" s="14" t="s">
        <v>33</v>
      </c>
      <c r="O1010" s="14" t="s">
        <v>34</v>
      </c>
      <c r="P1010" s="15" t="s">
        <v>1483</v>
      </c>
      <c r="Q1010" s="16">
        <v>10699</v>
      </c>
      <c r="R1010" s="17">
        <v>40</v>
      </c>
      <c r="S1010" s="18">
        <v>7382.3099999999986</v>
      </c>
      <c r="T1010" s="19" t="s">
        <v>36</v>
      </c>
      <c r="U1010" s="20" t="s">
        <v>599</v>
      </c>
      <c r="V1010" s="28">
        <v>39.5</v>
      </c>
      <c r="W1010" s="22">
        <v>7</v>
      </c>
      <c r="X1010" s="23"/>
    </row>
    <row r="1011" spans="1:24" s="1" customFormat="1" ht="35.1" customHeight="1" x14ac:dyDescent="0.3">
      <c r="A1011" s="24" t="s">
        <v>23</v>
      </c>
      <c r="B1011" s="24" t="s">
        <v>1430</v>
      </c>
      <c r="C1011" s="12" t="s">
        <v>1482</v>
      </c>
      <c r="D1011" s="54"/>
      <c r="E1011" s="39" t="str">
        <f>HYPERLINK("https://www.google.ru/search?q=3024878-001&amp;newwindow=1&amp;tbm=isch","Еще фото")</f>
        <v>Еще фото</v>
      </c>
      <c r="F1011" s="13"/>
      <c r="G1011" s="24" t="s">
        <v>808</v>
      </c>
      <c r="H1011" s="24" t="s">
        <v>593</v>
      </c>
      <c r="I1011" s="24" t="s">
        <v>809</v>
      </c>
      <c r="J1011" s="14" t="s">
        <v>29</v>
      </c>
      <c r="K1011" s="15" t="s">
        <v>30</v>
      </c>
      <c r="L1011" s="57"/>
      <c r="M1011" s="14" t="s">
        <v>811</v>
      </c>
      <c r="N1011" s="14" t="s">
        <v>33</v>
      </c>
      <c r="O1011" s="14" t="s">
        <v>34</v>
      </c>
      <c r="P1011" s="15" t="s">
        <v>1483</v>
      </c>
      <c r="Q1011" s="16">
        <v>10699</v>
      </c>
      <c r="R1011" s="17">
        <v>40</v>
      </c>
      <c r="S1011" s="18">
        <v>7382.3099999999986</v>
      </c>
      <c r="T1011" s="19" t="s">
        <v>36</v>
      </c>
      <c r="U1011" s="20" t="s">
        <v>602</v>
      </c>
      <c r="V1011" s="28">
        <v>41.5</v>
      </c>
      <c r="W1011" s="22">
        <v>1</v>
      </c>
      <c r="X1011" s="23"/>
    </row>
    <row r="1012" spans="1:24" s="1" customFormat="1" ht="36.950000000000003" customHeight="1" x14ac:dyDescent="0.3">
      <c r="A1012" s="24" t="s">
        <v>23</v>
      </c>
      <c r="B1012" s="24" t="s">
        <v>1430</v>
      </c>
      <c r="C1012" s="12" t="s">
        <v>1482</v>
      </c>
      <c r="D1012" s="55"/>
      <c r="E1012" s="39" t="str">
        <f>HYPERLINK("https://www.google.ru/search?q=3024878-001&amp;newwindow=1&amp;tbm=isch","Еще фото")</f>
        <v>Еще фото</v>
      </c>
      <c r="F1012" s="13"/>
      <c r="G1012" s="24" t="s">
        <v>808</v>
      </c>
      <c r="H1012" s="24" t="s">
        <v>593</v>
      </c>
      <c r="I1012" s="24" t="s">
        <v>809</v>
      </c>
      <c r="J1012" s="14" t="s">
        <v>29</v>
      </c>
      <c r="K1012" s="15" t="s">
        <v>30</v>
      </c>
      <c r="L1012" s="58"/>
      <c r="M1012" s="14" t="s">
        <v>811</v>
      </c>
      <c r="N1012" s="14" t="s">
        <v>33</v>
      </c>
      <c r="O1012" s="14" t="s">
        <v>34</v>
      </c>
      <c r="P1012" s="15" t="s">
        <v>1483</v>
      </c>
      <c r="Q1012" s="16">
        <v>10699</v>
      </c>
      <c r="R1012" s="17">
        <v>40</v>
      </c>
      <c r="S1012" s="18">
        <v>7382.3099999999986</v>
      </c>
      <c r="T1012" s="19" t="s">
        <v>36</v>
      </c>
      <c r="U1012" s="20" t="s">
        <v>606</v>
      </c>
      <c r="V1012" s="22">
        <v>44</v>
      </c>
      <c r="W1012" s="22">
        <v>1</v>
      </c>
      <c r="X1012" s="23"/>
    </row>
    <row r="1013" spans="1:24" s="1" customFormat="1" ht="26.1" customHeight="1" x14ac:dyDescent="0.3">
      <c r="A1013" s="11" t="s">
        <v>23</v>
      </c>
      <c r="B1013" s="11" t="s">
        <v>1430</v>
      </c>
      <c r="C1013" s="12" t="s">
        <v>1484</v>
      </c>
      <c r="D1013" s="53"/>
      <c r="E1013" s="39" t="str">
        <f>HYPERLINK("https://www.google.ru/search?q=3024878-002&amp;newwindow=1&amp;tbm=isch","Еще фото")</f>
        <v>Еще фото</v>
      </c>
      <c r="F1013" s="13"/>
      <c r="G1013" s="11" t="s">
        <v>808</v>
      </c>
      <c r="H1013" s="11" t="s">
        <v>593</v>
      </c>
      <c r="I1013" s="14" t="s">
        <v>809</v>
      </c>
      <c r="J1013" s="14" t="s">
        <v>29</v>
      </c>
      <c r="K1013" s="15" t="s">
        <v>30</v>
      </c>
      <c r="L1013" s="56" t="s">
        <v>1485</v>
      </c>
      <c r="M1013" s="14" t="s">
        <v>811</v>
      </c>
      <c r="N1013" s="14" t="s">
        <v>33</v>
      </c>
      <c r="O1013" s="14" t="s">
        <v>34</v>
      </c>
      <c r="P1013" s="15" t="s">
        <v>1483</v>
      </c>
      <c r="Q1013" s="16">
        <v>9899</v>
      </c>
      <c r="R1013" s="17">
        <v>40</v>
      </c>
      <c r="S1013" s="18">
        <v>6830.3099999999995</v>
      </c>
      <c r="T1013" s="19" t="s">
        <v>36</v>
      </c>
      <c r="U1013" s="20" t="s">
        <v>598</v>
      </c>
      <c r="V1013" s="22">
        <v>39</v>
      </c>
      <c r="W1013" s="22">
        <v>6</v>
      </c>
      <c r="X1013" s="23"/>
    </row>
    <row r="1014" spans="1:24" s="1" customFormat="1" ht="26.1" customHeight="1" x14ac:dyDescent="0.3">
      <c r="A1014" s="24" t="s">
        <v>23</v>
      </c>
      <c r="B1014" s="24" t="s">
        <v>1430</v>
      </c>
      <c r="C1014" s="12" t="s">
        <v>1484</v>
      </c>
      <c r="D1014" s="54"/>
      <c r="E1014" s="39" t="str">
        <f>HYPERLINK("https://www.google.ru/search?q=3024878-002&amp;newwindow=1&amp;tbm=isch","Еще фото")</f>
        <v>Еще фото</v>
      </c>
      <c r="F1014" s="13"/>
      <c r="G1014" s="24" t="s">
        <v>808</v>
      </c>
      <c r="H1014" s="24" t="s">
        <v>593</v>
      </c>
      <c r="I1014" s="24" t="s">
        <v>809</v>
      </c>
      <c r="J1014" s="14" t="s">
        <v>29</v>
      </c>
      <c r="K1014" s="15" t="s">
        <v>30</v>
      </c>
      <c r="L1014" s="57"/>
      <c r="M1014" s="14" t="s">
        <v>811</v>
      </c>
      <c r="N1014" s="14" t="s">
        <v>33</v>
      </c>
      <c r="O1014" s="14" t="s">
        <v>34</v>
      </c>
      <c r="P1014" s="15" t="s">
        <v>1483</v>
      </c>
      <c r="Q1014" s="16">
        <v>9899</v>
      </c>
      <c r="R1014" s="17">
        <v>40</v>
      </c>
      <c r="S1014" s="18">
        <v>6830.3099999999995</v>
      </c>
      <c r="T1014" s="19" t="s">
        <v>36</v>
      </c>
      <c r="U1014" s="20" t="s">
        <v>599</v>
      </c>
      <c r="V1014" s="28">
        <v>39.5</v>
      </c>
      <c r="W1014" s="22">
        <v>1</v>
      </c>
      <c r="X1014" s="23"/>
    </row>
    <row r="1015" spans="1:24" s="1" customFormat="1" ht="26.1" customHeight="1" x14ac:dyDescent="0.3">
      <c r="A1015" s="24" t="s">
        <v>23</v>
      </c>
      <c r="B1015" s="24" t="s">
        <v>1430</v>
      </c>
      <c r="C1015" s="12" t="s">
        <v>1484</v>
      </c>
      <c r="D1015" s="54"/>
      <c r="E1015" s="39" t="str">
        <f>HYPERLINK("https://www.google.ru/search?q=3024878-002&amp;newwindow=1&amp;tbm=isch","Еще фото")</f>
        <v>Еще фото</v>
      </c>
      <c r="F1015" s="13"/>
      <c r="G1015" s="24" t="s">
        <v>808</v>
      </c>
      <c r="H1015" s="24" t="s">
        <v>593</v>
      </c>
      <c r="I1015" s="24" t="s">
        <v>809</v>
      </c>
      <c r="J1015" s="14" t="s">
        <v>29</v>
      </c>
      <c r="K1015" s="15" t="s">
        <v>30</v>
      </c>
      <c r="L1015" s="57"/>
      <c r="M1015" s="14" t="s">
        <v>811</v>
      </c>
      <c r="N1015" s="14" t="s">
        <v>33</v>
      </c>
      <c r="O1015" s="14" t="s">
        <v>34</v>
      </c>
      <c r="P1015" s="15" t="s">
        <v>1483</v>
      </c>
      <c r="Q1015" s="16">
        <v>9899</v>
      </c>
      <c r="R1015" s="17">
        <v>40</v>
      </c>
      <c r="S1015" s="18">
        <v>6830.3099999999995</v>
      </c>
      <c r="T1015" s="19" t="s">
        <v>36</v>
      </c>
      <c r="U1015" s="20" t="s">
        <v>600</v>
      </c>
      <c r="V1015" s="22">
        <v>40</v>
      </c>
      <c r="W1015" s="22">
        <v>1</v>
      </c>
      <c r="X1015" s="23"/>
    </row>
    <row r="1016" spans="1:24" s="1" customFormat="1" ht="26.1" customHeight="1" x14ac:dyDescent="0.3">
      <c r="A1016" s="24" t="s">
        <v>23</v>
      </c>
      <c r="B1016" s="24" t="s">
        <v>1430</v>
      </c>
      <c r="C1016" s="12" t="s">
        <v>1484</v>
      </c>
      <c r="D1016" s="55"/>
      <c r="E1016" s="39" t="str">
        <f>HYPERLINK("https://www.google.ru/search?q=3024878-002&amp;newwindow=1&amp;tbm=isch","Еще фото")</f>
        <v>Еще фото</v>
      </c>
      <c r="F1016" s="13"/>
      <c r="G1016" s="24" t="s">
        <v>808</v>
      </c>
      <c r="H1016" s="24" t="s">
        <v>593</v>
      </c>
      <c r="I1016" s="24" t="s">
        <v>809</v>
      </c>
      <c r="J1016" s="14" t="s">
        <v>29</v>
      </c>
      <c r="K1016" s="15" t="s">
        <v>30</v>
      </c>
      <c r="L1016" s="58"/>
      <c r="M1016" s="14" t="s">
        <v>811</v>
      </c>
      <c r="N1016" s="14" t="s">
        <v>33</v>
      </c>
      <c r="O1016" s="14" t="s">
        <v>34</v>
      </c>
      <c r="P1016" s="15" t="s">
        <v>1483</v>
      </c>
      <c r="Q1016" s="16">
        <v>9899</v>
      </c>
      <c r="R1016" s="17">
        <v>40</v>
      </c>
      <c r="S1016" s="18">
        <v>6830.3099999999995</v>
      </c>
      <c r="T1016" s="19" t="s">
        <v>36</v>
      </c>
      <c r="U1016" s="20" t="s">
        <v>602</v>
      </c>
      <c r="V1016" s="28">
        <v>41.5</v>
      </c>
      <c r="W1016" s="22">
        <v>4</v>
      </c>
      <c r="X1016" s="23"/>
    </row>
    <row r="1017" spans="1:24" s="1" customFormat="1" ht="51.95" customHeight="1" x14ac:dyDescent="0.3">
      <c r="A1017" s="11" t="s">
        <v>23</v>
      </c>
      <c r="B1017" s="11" t="s">
        <v>1430</v>
      </c>
      <c r="C1017" s="12" t="s">
        <v>1486</v>
      </c>
      <c r="D1017" s="59"/>
      <c r="E1017" s="39" t="str">
        <f>HYPERLINK("https://www.google.ru/search?q=3024878-104&amp;newwindow=1&amp;tbm=isch","Еще фото")</f>
        <v>Еще фото</v>
      </c>
      <c r="F1017" s="13"/>
      <c r="G1017" s="11" t="s">
        <v>808</v>
      </c>
      <c r="H1017" s="11" t="s">
        <v>593</v>
      </c>
      <c r="I1017" s="14" t="s">
        <v>809</v>
      </c>
      <c r="J1017" s="14" t="s">
        <v>29</v>
      </c>
      <c r="K1017" s="15" t="s">
        <v>30</v>
      </c>
      <c r="L1017" s="56" t="s">
        <v>1432</v>
      </c>
      <c r="M1017" s="14" t="s">
        <v>811</v>
      </c>
      <c r="N1017" s="14" t="s">
        <v>84</v>
      </c>
      <c r="O1017" s="14" t="s">
        <v>34</v>
      </c>
      <c r="P1017" s="15" t="s">
        <v>819</v>
      </c>
      <c r="Q1017" s="16">
        <v>8899</v>
      </c>
      <c r="R1017" s="17">
        <v>40</v>
      </c>
      <c r="S1017" s="18">
        <v>6140.3099999999995</v>
      </c>
      <c r="T1017" s="19" t="s">
        <v>36</v>
      </c>
      <c r="U1017" s="20" t="s">
        <v>598</v>
      </c>
      <c r="V1017" s="22">
        <v>39</v>
      </c>
      <c r="W1017" s="22">
        <v>3</v>
      </c>
      <c r="X1017" s="23"/>
    </row>
    <row r="1018" spans="1:24" s="1" customFormat="1" ht="60.95" customHeight="1" x14ac:dyDescent="0.3">
      <c r="A1018" s="24" t="s">
        <v>23</v>
      </c>
      <c r="B1018" s="24" t="s">
        <v>1430</v>
      </c>
      <c r="C1018" s="12" t="s">
        <v>1486</v>
      </c>
      <c r="D1018" s="60"/>
      <c r="E1018" s="39" t="str">
        <f>HYPERLINK("https://www.google.ru/search?q=3024878-104&amp;newwindow=1&amp;tbm=isch","Еще фото")</f>
        <v>Еще фото</v>
      </c>
      <c r="F1018" s="13"/>
      <c r="G1018" s="24" t="s">
        <v>808</v>
      </c>
      <c r="H1018" s="24" t="s">
        <v>593</v>
      </c>
      <c r="I1018" s="24" t="s">
        <v>809</v>
      </c>
      <c r="J1018" s="14" t="s">
        <v>29</v>
      </c>
      <c r="K1018" s="15" t="s">
        <v>30</v>
      </c>
      <c r="L1018" s="58"/>
      <c r="M1018" s="14" t="s">
        <v>811</v>
      </c>
      <c r="N1018" s="14" t="s">
        <v>84</v>
      </c>
      <c r="O1018" s="14" t="s">
        <v>34</v>
      </c>
      <c r="P1018" s="15" t="s">
        <v>819</v>
      </c>
      <c r="Q1018" s="16">
        <v>8899</v>
      </c>
      <c r="R1018" s="17">
        <v>40</v>
      </c>
      <c r="S1018" s="18">
        <v>6140.3099999999995</v>
      </c>
      <c r="T1018" s="19" t="s">
        <v>36</v>
      </c>
      <c r="U1018" s="20" t="s">
        <v>599</v>
      </c>
      <c r="V1018" s="28">
        <v>39.5</v>
      </c>
      <c r="W1018" s="22">
        <v>3</v>
      </c>
      <c r="X1018" s="23"/>
    </row>
    <row r="1019" spans="1:24" s="1" customFormat="1" ht="51.95" customHeight="1" x14ac:dyDescent="0.3">
      <c r="A1019" s="11" t="s">
        <v>23</v>
      </c>
      <c r="B1019" s="11" t="s">
        <v>1430</v>
      </c>
      <c r="C1019" s="12" t="s">
        <v>1487</v>
      </c>
      <c r="D1019" s="59"/>
      <c r="E1019" s="39" t="str">
        <f>HYPERLINK("https://www.google.ru/search?q=3024878-401&amp;newwindow=1&amp;tbm=isch","Еще фото")</f>
        <v>Еще фото</v>
      </c>
      <c r="F1019" s="13"/>
      <c r="G1019" s="11" t="s">
        <v>808</v>
      </c>
      <c r="H1019" s="11" t="s">
        <v>593</v>
      </c>
      <c r="I1019" s="14" t="s">
        <v>809</v>
      </c>
      <c r="J1019" s="14" t="s">
        <v>29</v>
      </c>
      <c r="K1019" s="15" t="s">
        <v>30</v>
      </c>
      <c r="L1019" s="56" t="s">
        <v>1432</v>
      </c>
      <c r="M1019" s="14" t="s">
        <v>811</v>
      </c>
      <c r="N1019" s="14" t="s">
        <v>91</v>
      </c>
      <c r="O1019" s="14" t="s">
        <v>34</v>
      </c>
      <c r="P1019" s="15" t="s">
        <v>1483</v>
      </c>
      <c r="Q1019" s="16">
        <v>9099</v>
      </c>
      <c r="R1019" s="17">
        <v>40</v>
      </c>
      <c r="S1019" s="18">
        <v>6278.3099999999995</v>
      </c>
      <c r="T1019" s="19" t="s">
        <v>36</v>
      </c>
      <c r="U1019" s="20" t="s">
        <v>599</v>
      </c>
      <c r="V1019" s="28">
        <v>39.5</v>
      </c>
      <c r="W1019" s="22">
        <v>9</v>
      </c>
      <c r="X1019" s="23"/>
    </row>
    <row r="1020" spans="1:24" s="1" customFormat="1" ht="60.95" customHeight="1" x14ac:dyDescent="0.3">
      <c r="A1020" s="24" t="s">
        <v>23</v>
      </c>
      <c r="B1020" s="24" t="s">
        <v>1430</v>
      </c>
      <c r="C1020" s="12" t="s">
        <v>1487</v>
      </c>
      <c r="D1020" s="60"/>
      <c r="E1020" s="39" t="str">
        <f>HYPERLINK("https://www.google.ru/search?q=3024878-401&amp;newwindow=1&amp;tbm=isch","Еще фото")</f>
        <v>Еще фото</v>
      </c>
      <c r="F1020" s="13"/>
      <c r="G1020" s="24" t="s">
        <v>808</v>
      </c>
      <c r="H1020" s="24" t="s">
        <v>593</v>
      </c>
      <c r="I1020" s="24" t="s">
        <v>809</v>
      </c>
      <c r="J1020" s="14" t="s">
        <v>29</v>
      </c>
      <c r="K1020" s="15" t="s">
        <v>30</v>
      </c>
      <c r="L1020" s="58"/>
      <c r="M1020" s="14" t="s">
        <v>811</v>
      </c>
      <c r="N1020" s="14" t="s">
        <v>91</v>
      </c>
      <c r="O1020" s="14" t="s">
        <v>34</v>
      </c>
      <c r="P1020" s="15" t="s">
        <v>1483</v>
      </c>
      <c r="Q1020" s="16">
        <v>9099</v>
      </c>
      <c r="R1020" s="17">
        <v>40</v>
      </c>
      <c r="S1020" s="18">
        <v>6278.3099999999995</v>
      </c>
      <c r="T1020" s="19" t="s">
        <v>36</v>
      </c>
      <c r="U1020" s="20" t="s">
        <v>600</v>
      </c>
      <c r="V1020" s="22">
        <v>40</v>
      </c>
      <c r="W1020" s="22">
        <v>9</v>
      </c>
      <c r="X1020" s="23"/>
    </row>
    <row r="1021" spans="1:24" s="1" customFormat="1" ht="108" customHeight="1" x14ac:dyDescent="0.3">
      <c r="A1021" s="11" t="s">
        <v>23</v>
      </c>
      <c r="B1021" s="11" t="s">
        <v>1122</v>
      </c>
      <c r="C1021" s="12" t="s">
        <v>1488</v>
      </c>
      <c r="D1021" s="25"/>
      <c r="E1021" s="39" t="str">
        <f>HYPERLINK("https://www.google.ru/search?q=3024883-001&amp;newwindow=1&amp;tbm=isch","Еще фото")</f>
        <v>Еще фото</v>
      </c>
      <c r="F1021" s="13"/>
      <c r="G1021" s="11" t="s">
        <v>808</v>
      </c>
      <c r="H1021" s="11" t="s">
        <v>593</v>
      </c>
      <c r="I1021" s="14" t="s">
        <v>809</v>
      </c>
      <c r="J1021" s="14" t="s">
        <v>29</v>
      </c>
      <c r="K1021" s="15" t="s">
        <v>30</v>
      </c>
      <c r="L1021" s="14" t="s">
        <v>1124</v>
      </c>
      <c r="M1021" s="14" t="s">
        <v>49</v>
      </c>
      <c r="N1021" s="14" t="s">
        <v>33</v>
      </c>
      <c r="O1021" s="14" t="s">
        <v>34</v>
      </c>
      <c r="P1021" s="15" t="s">
        <v>1125</v>
      </c>
      <c r="Q1021" s="16">
        <v>8699</v>
      </c>
      <c r="R1021" s="17">
        <v>40</v>
      </c>
      <c r="S1021" s="18">
        <v>6002.3099999999995</v>
      </c>
      <c r="T1021" s="19" t="s">
        <v>36</v>
      </c>
      <c r="U1021" s="20" t="s">
        <v>602</v>
      </c>
      <c r="V1021" s="28">
        <v>41.5</v>
      </c>
      <c r="W1021" s="22">
        <v>1</v>
      </c>
      <c r="X1021" s="23"/>
    </row>
    <row r="1022" spans="1:24" s="1" customFormat="1" ht="108" customHeight="1" x14ac:dyDescent="0.3">
      <c r="A1022" s="11" t="s">
        <v>23</v>
      </c>
      <c r="B1022" s="11" t="s">
        <v>1122</v>
      </c>
      <c r="C1022" s="12" t="s">
        <v>1489</v>
      </c>
      <c r="D1022" s="25"/>
      <c r="E1022" s="39" t="str">
        <f>HYPERLINK("https://www.google.ru/search?q=3024883-405&amp;newwindow=1&amp;tbm=isch","Еще фото")</f>
        <v>Еще фото</v>
      </c>
      <c r="F1022" s="13"/>
      <c r="G1022" s="11" t="s">
        <v>808</v>
      </c>
      <c r="H1022" s="11" t="s">
        <v>593</v>
      </c>
      <c r="I1022" s="14" t="s">
        <v>809</v>
      </c>
      <c r="J1022" s="14" t="s">
        <v>29</v>
      </c>
      <c r="K1022" s="15" t="s">
        <v>30</v>
      </c>
      <c r="L1022" s="14" t="s">
        <v>1124</v>
      </c>
      <c r="M1022" s="14" t="s">
        <v>49</v>
      </c>
      <c r="N1022" s="14" t="s">
        <v>91</v>
      </c>
      <c r="O1022" s="14"/>
      <c r="P1022" s="15" t="s">
        <v>1125</v>
      </c>
      <c r="Q1022" s="16">
        <v>8699</v>
      </c>
      <c r="R1022" s="17">
        <v>40</v>
      </c>
      <c r="S1022" s="18">
        <v>6002.3099999999995</v>
      </c>
      <c r="T1022" s="19" t="s">
        <v>36</v>
      </c>
      <c r="U1022" s="20" t="s">
        <v>601</v>
      </c>
      <c r="V1022" s="22">
        <v>41</v>
      </c>
      <c r="W1022" s="22">
        <v>1</v>
      </c>
      <c r="X1022" s="23"/>
    </row>
    <row r="1023" spans="1:24" s="1" customFormat="1" ht="51.95" customHeight="1" x14ac:dyDescent="0.3">
      <c r="A1023" s="11" t="s">
        <v>23</v>
      </c>
      <c r="B1023" s="11" t="s">
        <v>815</v>
      </c>
      <c r="C1023" s="12" t="s">
        <v>1490</v>
      </c>
      <c r="D1023" s="59"/>
      <c r="E1023" s="39" t="str">
        <f>HYPERLINK("https://www.google.ru/search?q=3024889-101&amp;newwindow=1&amp;tbm=isch","Еще фото")</f>
        <v>Еще фото</v>
      </c>
      <c r="F1023" s="13"/>
      <c r="G1023" s="11" t="s">
        <v>808</v>
      </c>
      <c r="H1023" s="11" t="s">
        <v>593</v>
      </c>
      <c r="I1023" s="14" t="s">
        <v>809</v>
      </c>
      <c r="J1023" s="14" t="s">
        <v>29</v>
      </c>
      <c r="K1023" s="15" t="s">
        <v>64</v>
      </c>
      <c r="L1023" s="56" t="s">
        <v>818</v>
      </c>
      <c r="M1023" s="14" t="s">
        <v>811</v>
      </c>
      <c r="N1023" s="14" t="s">
        <v>84</v>
      </c>
      <c r="O1023" s="14" t="s">
        <v>34</v>
      </c>
      <c r="P1023" s="15" t="s">
        <v>819</v>
      </c>
      <c r="Q1023" s="16">
        <v>9299</v>
      </c>
      <c r="R1023" s="17">
        <v>40</v>
      </c>
      <c r="S1023" s="18">
        <v>6416.3099999999995</v>
      </c>
      <c r="T1023" s="19" t="s">
        <v>36</v>
      </c>
      <c r="U1023" s="20" t="s">
        <v>813</v>
      </c>
      <c r="V1023" s="28">
        <v>35.5</v>
      </c>
      <c r="W1023" s="22">
        <v>3</v>
      </c>
      <c r="X1023" s="23"/>
    </row>
    <row r="1024" spans="1:24" s="1" customFormat="1" ht="60.95" customHeight="1" x14ac:dyDescent="0.3">
      <c r="A1024" s="24" t="s">
        <v>23</v>
      </c>
      <c r="B1024" s="24" t="s">
        <v>815</v>
      </c>
      <c r="C1024" s="12" t="s">
        <v>1490</v>
      </c>
      <c r="D1024" s="60"/>
      <c r="E1024" s="39" t="str">
        <f>HYPERLINK("https://www.google.ru/search?q=3024889-101&amp;newwindow=1&amp;tbm=isch","Еще фото")</f>
        <v>Еще фото</v>
      </c>
      <c r="F1024" s="13"/>
      <c r="G1024" s="24" t="s">
        <v>808</v>
      </c>
      <c r="H1024" s="24" t="s">
        <v>593</v>
      </c>
      <c r="I1024" s="24" t="s">
        <v>809</v>
      </c>
      <c r="J1024" s="14" t="s">
        <v>29</v>
      </c>
      <c r="K1024" s="15" t="s">
        <v>64</v>
      </c>
      <c r="L1024" s="58"/>
      <c r="M1024" s="14" t="s">
        <v>811</v>
      </c>
      <c r="N1024" s="14" t="s">
        <v>84</v>
      </c>
      <c r="O1024" s="14" t="s">
        <v>34</v>
      </c>
      <c r="P1024" s="15" t="s">
        <v>819</v>
      </c>
      <c r="Q1024" s="16">
        <v>9299</v>
      </c>
      <c r="R1024" s="17">
        <v>40</v>
      </c>
      <c r="S1024" s="18">
        <v>6416.3099999999995</v>
      </c>
      <c r="T1024" s="19" t="s">
        <v>36</v>
      </c>
      <c r="U1024" s="20" t="s">
        <v>820</v>
      </c>
      <c r="V1024" s="22">
        <v>36</v>
      </c>
      <c r="W1024" s="22">
        <v>2</v>
      </c>
      <c r="X1024" s="23"/>
    </row>
    <row r="1025" spans="1:24" s="1" customFormat="1" ht="108" customHeight="1" x14ac:dyDescent="0.3">
      <c r="A1025" s="11" t="s">
        <v>23</v>
      </c>
      <c r="B1025" s="11" t="s">
        <v>815</v>
      </c>
      <c r="C1025" s="12" t="s">
        <v>1491</v>
      </c>
      <c r="D1025" s="25"/>
      <c r="E1025" s="39" t="str">
        <f>HYPERLINK("https://www.google.ru/search?q=3024889-602&amp;newwindow=1&amp;tbm=isch","Еще фото")</f>
        <v>Еще фото</v>
      </c>
      <c r="F1025" s="13"/>
      <c r="G1025" s="11" t="s">
        <v>808</v>
      </c>
      <c r="H1025" s="11" t="s">
        <v>593</v>
      </c>
      <c r="I1025" s="14" t="s">
        <v>809</v>
      </c>
      <c r="J1025" s="14" t="s">
        <v>29</v>
      </c>
      <c r="K1025" s="15" t="s">
        <v>64</v>
      </c>
      <c r="L1025" s="14" t="s">
        <v>818</v>
      </c>
      <c r="M1025" s="14" t="s">
        <v>811</v>
      </c>
      <c r="N1025" s="14" t="s">
        <v>57</v>
      </c>
      <c r="O1025" s="14"/>
      <c r="P1025" s="15" t="s">
        <v>819</v>
      </c>
      <c r="Q1025" s="16">
        <v>9099</v>
      </c>
      <c r="R1025" s="17">
        <v>40</v>
      </c>
      <c r="S1025" s="18">
        <v>6278.3099999999995</v>
      </c>
      <c r="T1025" s="19" t="s">
        <v>36</v>
      </c>
      <c r="U1025" s="20" t="s">
        <v>598</v>
      </c>
      <c r="V1025" s="22">
        <v>37</v>
      </c>
      <c r="W1025" s="22">
        <v>5</v>
      </c>
      <c r="X1025" s="23"/>
    </row>
    <row r="1026" spans="1:24" s="1" customFormat="1" ht="51.95" customHeight="1" x14ac:dyDescent="0.3">
      <c r="A1026" s="11" t="s">
        <v>23</v>
      </c>
      <c r="B1026" s="11" t="s">
        <v>1276</v>
      </c>
      <c r="C1026" s="12" t="s">
        <v>1492</v>
      </c>
      <c r="D1026" s="59"/>
      <c r="E1026" s="39" t="str">
        <f>HYPERLINK("https://www.google.ru/search?q=3024894-001&amp;newwindow=1&amp;tbm=isch","Еще фото")</f>
        <v>Еще фото</v>
      </c>
      <c r="F1026" s="13"/>
      <c r="G1026" s="11" t="s">
        <v>808</v>
      </c>
      <c r="H1026" s="11" t="s">
        <v>593</v>
      </c>
      <c r="I1026" s="14" t="s">
        <v>809</v>
      </c>
      <c r="J1026" s="14" t="s">
        <v>29</v>
      </c>
      <c r="K1026" s="15" t="s">
        <v>64</v>
      </c>
      <c r="L1026" s="56" t="s">
        <v>1278</v>
      </c>
      <c r="M1026" s="14" t="s">
        <v>49</v>
      </c>
      <c r="N1026" s="14" t="s">
        <v>33</v>
      </c>
      <c r="O1026" s="14"/>
      <c r="P1026" s="15" t="s">
        <v>1444</v>
      </c>
      <c r="Q1026" s="16">
        <v>7999</v>
      </c>
      <c r="R1026" s="17">
        <v>40</v>
      </c>
      <c r="S1026" s="18">
        <v>5519.3099999999995</v>
      </c>
      <c r="T1026" s="19" t="s">
        <v>36</v>
      </c>
      <c r="U1026" s="20" t="s">
        <v>820</v>
      </c>
      <c r="V1026" s="22">
        <v>36</v>
      </c>
      <c r="W1026" s="22">
        <v>3</v>
      </c>
      <c r="X1026" s="23"/>
    </row>
    <row r="1027" spans="1:24" s="1" customFormat="1" ht="60.95" customHeight="1" x14ac:dyDescent="0.3">
      <c r="A1027" s="24" t="s">
        <v>23</v>
      </c>
      <c r="B1027" s="24" t="s">
        <v>1276</v>
      </c>
      <c r="C1027" s="12" t="s">
        <v>1492</v>
      </c>
      <c r="D1027" s="60"/>
      <c r="E1027" s="39" t="str">
        <f>HYPERLINK("https://www.google.ru/search?q=3024894-001&amp;newwindow=1&amp;tbm=isch","Еще фото")</f>
        <v>Еще фото</v>
      </c>
      <c r="F1027" s="13"/>
      <c r="G1027" s="24" t="s">
        <v>808</v>
      </c>
      <c r="H1027" s="24" t="s">
        <v>593</v>
      </c>
      <c r="I1027" s="24" t="s">
        <v>809</v>
      </c>
      <c r="J1027" s="14" t="s">
        <v>29</v>
      </c>
      <c r="K1027" s="15" t="s">
        <v>64</v>
      </c>
      <c r="L1027" s="58"/>
      <c r="M1027" s="14" t="s">
        <v>49</v>
      </c>
      <c r="N1027" s="14" t="s">
        <v>33</v>
      </c>
      <c r="O1027" s="14"/>
      <c r="P1027" s="15" t="s">
        <v>1444</v>
      </c>
      <c r="Q1027" s="16">
        <v>7999</v>
      </c>
      <c r="R1027" s="17">
        <v>40</v>
      </c>
      <c r="S1027" s="18">
        <v>5519.3099999999995</v>
      </c>
      <c r="T1027" s="19" t="s">
        <v>36</v>
      </c>
      <c r="U1027" s="20" t="s">
        <v>814</v>
      </c>
      <c r="V1027" s="28">
        <v>36.5</v>
      </c>
      <c r="W1027" s="22">
        <v>1</v>
      </c>
      <c r="X1027" s="23"/>
    </row>
    <row r="1028" spans="1:24" s="1" customFormat="1" ht="26.1" customHeight="1" x14ac:dyDescent="0.3">
      <c r="A1028" s="11" t="s">
        <v>23</v>
      </c>
      <c r="B1028" s="11" t="s">
        <v>843</v>
      </c>
      <c r="C1028" s="12" t="s">
        <v>1493</v>
      </c>
      <c r="D1028" s="53"/>
      <c r="E1028" s="39" t="str">
        <f>HYPERLINK("https://www.google.ru/search?q=3025060-105&amp;newwindow=1&amp;tbm=isch","Еще фото")</f>
        <v>Еще фото</v>
      </c>
      <c r="F1028" s="13"/>
      <c r="G1028" s="11" t="s">
        <v>808</v>
      </c>
      <c r="H1028" s="11" t="s">
        <v>593</v>
      </c>
      <c r="I1028" s="14" t="s">
        <v>809</v>
      </c>
      <c r="J1028" s="14" t="s">
        <v>29</v>
      </c>
      <c r="K1028" s="15" t="s">
        <v>64</v>
      </c>
      <c r="L1028" s="56" t="s">
        <v>1494</v>
      </c>
      <c r="M1028" s="14"/>
      <c r="N1028" s="14" t="s">
        <v>84</v>
      </c>
      <c r="O1028" s="14"/>
      <c r="P1028" s="15" t="s">
        <v>1495</v>
      </c>
      <c r="Q1028" s="16">
        <v>9999</v>
      </c>
      <c r="R1028" s="17">
        <v>40</v>
      </c>
      <c r="S1028" s="18">
        <v>6899.3099999999995</v>
      </c>
      <c r="T1028" s="19" t="s">
        <v>36</v>
      </c>
      <c r="U1028" s="20" t="s">
        <v>820</v>
      </c>
      <c r="V1028" s="22">
        <v>36</v>
      </c>
      <c r="W1028" s="22">
        <v>1</v>
      </c>
      <c r="X1028" s="23"/>
    </row>
    <row r="1029" spans="1:24" s="1" customFormat="1" ht="26.1" customHeight="1" x14ac:dyDescent="0.3">
      <c r="A1029" s="24" t="s">
        <v>23</v>
      </c>
      <c r="B1029" s="24" t="s">
        <v>843</v>
      </c>
      <c r="C1029" s="12" t="s">
        <v>1493</v>
      </c>
      <c r="D1029" s="54"/>
      <c r="E1029" s="39" t="str">
        <f>HYPERLINK("https://www.google.ru/search?q=3025060-105&amp;newwindow=1&amp;tbm=isch","Еще фото")</f>
        <v>Еще фото</v>
      </c>
      <c r="F1029" s="13"/>
      <c r="G1029" s="24" t="s">
        <v>808</v>
      </c>
      <c r="H1029" s="24" t="s">
        <v>593</v>
      </c>
      <c r="I1029" s="24" t="s">
        <v>809</v>
      </c>
      <c r="J1029" s="14" t="s">
        <v>29</v>
      </c>
      <c r="K1029" s="15" t="s">
        <v>64</v>
      </c>
      <c r="L1029" s="57"/>
      <c r="M1029" s="14"/>
      <c r="N1029" s="14" t="s">
        <v>84</v>
      </c>
      <c r="O1029" s="14"/>
      <c r="P1029" s="15" t="s">
        <v>1495</v>
      </c>
      <c r="Q1029" s="16">
        <v>9999</v>
      </c>
      <c r="R1029" s="17">
        <v>40</v>
      </c>
      <c r="S1029" s="18">
        <v>6899.3099999999995</v>
      </c>
      <c r="T1029" s="19" t="s">
        <v>36</v>
      </c>
      <c r="U1029" s="20" t="s">
        <v>814</v>
      </c>
      <c r="V1029" s="28">
        <v>36.5</v>
      </c>
      <c r="W1029" s="22">
        <v>3</v>
      </c>
      <c r="X1029" s="23"/>
    </row>
    <row r="1030" spans="1:24" s="1" customFormat="1" ht="26.1" customHeight="1" x14ac:dyDescent="0.3">
      <c r="A1030" s="24" t="s">
        <v>23</v>
      </c>
      <c r="B1030" s="24" t="s">
        <v>843</v>
      </c>
      <c r="C1030" s="12" t="s">
        <v>1493</v>
      </c>
      <c r="D1030" s="54"/>
      <c r="E1030" s="39" t="str">
        <f>HYPERLINK("https://www.google.ru/search?q=3025060-105&amp;newwindow=1&amp;tbm=isch","Еще фото")</f>
        <v>Еще фото</v>
      </c>
      <c r="F1030" s="13"/>
      <c r="G1030" s="24" t="s">
        <v>808</v>
      </c>
      <c r="H1030" s="24" t="s">
        <v>593</v>
      </c>
      <c r="I1030" s="24" t="s">
        <v>809</v>
      </c>
      <c r="J1030" s="14" t="s">
        <v>29</v>
      </c>
      <c r="K1030" s="15" t="s">
        <v>64</v>
      </c>
      <c r="L1030" s="57"/>
      <c r="M1030" s="14"/>
      <c r="N1030" s="14" t="s">
        <v>84</v>
      </c>
      <c r="O1030" s="14"/>
      <c r="P1030" s="15" t="s">
        <v>1495</v>
      </c>
      <c r="Q1030" s="16">
        <v>9999</v>
      </c>
      <c r="R1030" s="17">
        <v>40</v>
      </c>
      <c r="S1030" s="18">
        <v>6899.3099999999995</v>
      </c>
      <c r="T1030" s="19" t="s">
        <v>36</v>
      </c>
      <c r="U1030" s="20" t="s">
        <v>598</v>
      </c>
      <c r="V1030" s="22">
        <v>37</v>
      </c>
      <c r="W1030" s="22">
        <v>3</v>
      </c>
      <c r="X1030" s="23"/>
    </row>
    <row r="1031" spans="1:24" s="1" customFormat="1" ht="26.1" customHeight="1" x14ac:dyDescent="0.3">
      <c r="A1031" s="24" t="s">
        <v>23</v>
      </c>
      <c r="B1031" s="24" t="s">
        <v>843</v>
      </c>
      <c r="C1031" s="12" t="s">
        <v>1493</v>
      </c>
      <c r="D1031" s="55"/>
      <c r="E1031" s="39" t="str">
        <f>HYPERLINK("https://www.google.ru/search?q=3025060-105&amp;newwindow=1&amp;tbm=isch","Еще фото")</f>
        <v>Еще фото</v>
      </c>
      <c r="F1031" s="13"/>
      <c r="G1031" s="24" t="s">
        <v>808</v>
      </c>
      <c r="H1031" s="24" t="s">
        <v>593</v>
      </c>
      <c r="I1031" s="24" t="s">
        <v>809</v>
      </c>
      <c r="J1031" s="14" t="s">
        <v>29</v>
      </c>
      <c r="K1031" s="15" t="s">
        <v>64</v>
      </c>
      <c r="L1031" s="58"/>
      <c r="M1031" s="14"/>
      <c r="N1031" s="14" t="s">
        <v>84</v>
      </c>
      <c r="O1031" s="14"/>
      <c r="P1031" s="15" t="s">
        <v>1495</v>
      </c>
      <c r="Q1031" s="16">
        <v>9999</v>
      </c>
      <c r="R1031" s="17">
        <v>40</v>
      </c>
      <c r="S1031" s="18">
        <v>6899.3099999999995</v>
      </c>
      <c r="T1031" s="19" t="s">
        <v>36</v>
      </c>
      <c r="U1031" s="20" t="s">
        <v>599</v>
      </c>
      <c r="V1031" s="28">
        <v>37.5</v>
      </c>
      <c r="W1031" s="22">
        <v>1</v>
      </c>
      <c r="X1031" s="23"/>
    </row>
    <row r="1032" spans="1:24" s="1" customFormat="1" ht="26.1" customHeight="1" x14ac:dyDescent="0.3">
      <c r="A1032" s="11" t="s">
        <v>23</v>
      </c>
      <c r="B1032" s="11" t="s">
        <v>1496</v>
      </c>
      <c r="C1032" s="12" t="s">
        <v>1497</v>
      </c>
      <c r="D1032" s="53"/>
      <c r="E1032" s="39" t="str">
        <f>HYPERLINK("https://www.google.ru/search?q=3025421-001&amp;newwindow=1&amp;tbm=isch","Еще фото")</f>
        <v>Еще фото</v>
      </c>
      <c r="F1032" s="13"/>
      <c r="G1032" s="11" t="s">
        <v>808</v>
      </c>
      <c r="H1032" s="11" t="s">
        <v>593</v>
      </c>
      <c r="I1032" s="14" t="s">
        <v>809</v>
      </c>
      <c r="J1032" s="14" t="s">
        <v>29</v>
      </c>
      <c r="K1032" s="15" t="s">
        <v>30</v>
      </c>
      <c r="L1032" s="56" t="s">
        <v>1498</v>
      </c>
      <c r="M1032" s="14"/>
      <c r="N1032" s="14" t="s">
        <v>33</v>
      </c>
      <c r="O1032" s="14"/>
      <c r="P1032" s="15" t="s">
        <v>1499</v>
      </c>
      <c r="Q1032" s="16">
        <v>9999</v>
      </c>
      <c r="R1032" s="17">
        <v>40</v>
      </c>
      <c r="S1032" s="18">
        <v>6899.3099999999995</v>
      </c>
      <c r="T1032" s="19" t="s">
        <v>36</v>
      </c>
      <c r="U1032" s="20" t="s">
        <v>598</v>
      </c>
      <c r="V1032" s="22">
        <v>39</v>
      </c>
      <c r="W1032" s="22">
        <v>4</v>
      </c>
      <c r="X1032" s="23"/>
    </row>
    <row r="1033" spans="1:24" s="1" customFormat="1" ht="26.1" customHeight="1" x14ac:dyDescent="0.3">
      <c r="A1033" s="24" t="s">
        <v>23</v>
      </c>
      <c r="B1033" s="24" t="s">
        <v>1496</v>
      </c>
      <c r="C1033" s="12" t="s">
        <v>1497</v>
      </c>
      <c r="D1033" s="54"/>
      <c r="E1033" s="39" t="str">
        <f>HYPERLINK("https://www.google.ru/search?q=3025421-001&amp;newwindow=1&amp;tbm=isch","Еще фото")</f>
        <v>Еще фото</v>
      </c>
      <c r="F1033" s="13"/>
      <c r="G1033" s="24" t="s">
        <v>808</v>
      </c>
      <c r="H1033" s="24" t="s">
        <v>593</v>
      </c>
      <c r="I1033" s="24" t="s">
        <v>809</v>
      </c>
      <c r="J1033" s="14" t="s">
        <v>29</v>
      </c>
      <c r="K1033" s="15" t="s">
        <v>30</v>
      </c>
      <c r="L1033" s="57"/>
      <c r="M1033" s="14"/>
      <c r="N1033" s="14" t="s">
        <v>33</v>
      </c>
      <c r="O1033" s="14"/>
      <c r="P1033" s="15" t="s">
        <v>1499</v>
      </c>
      <c r="Q1033" s="16">
        <v>9999</v>
      </c>
      <c r="R1033" s="17">
        <v>40</v>
      </c>
      <c r="S1033" s="18">
        <v>6899.3099999999995</v>
      </c>
      <c r="T1033" s="19" t="s">
        <v>36</v>
      </c>
      <c r="U1033" s="20" t="s">
        <v>599</v>
      </c>
      <c r="V1033" s="28">
        <v>39.5</v>
      </c>
      <c r="W1033" s="22">
        <v>12</v>
      </c>
      <c r="X1033" s="23"/>
    </row>
    <row r="1034" spans="1:24" s="1" customFormat="1" ht="26.1" customHeight="1" x14ac:dyDescent="0.3">
      <c r="A1034" s="24" t="s">
        <v>23</v>
      </c>
      <c r="B1034" s="24" t="s">
        <v>1496</v>
      </c>
      <c r="C1034" s="12" t="s">
        <v>1497</v>
      </c>
      <c r="D1034" s="54"/>
      <c r="E1034" s="39" t="str">
        <f>HYPERLINK("https://www.google.ru/search?q=3025421-001&amp;newwindow=1&amp;tbm=isch","Еще фото")</f>
        <v>Еще фото</v>
      </c>
      <c r="F1034" s="13"/>
      <c r="G1034" s="24" t="s">
        <v>808</v>
      </c>
      <c r="H1034" s="24" t="s">
        <v>593</v>
      </c>
      <c r="I1034" s="24" t="s">
        <v>809</v>
      </c>
      <c r="J1034" s="14" t="s">
        <v>29</v>
      </c>
      <c r="K1034" s="15" t="s">
        <v>30</v>
      </c>
      <c r="L1034" s="57"/>
      <c r="M1034" s="14"/>
      <c r="N1034" s="14" t="s">
        <v>33</v>
      </c>
      <c r="O1034" s="14"/>
      <c r="P1034" s="15" t="s">
        <v>1499</v>
      </c>
      <c r="Q1034" s="16">
        <v>9999</v>
      </c>
      <c r="R1034" s="17">
        <v>40</v>
      </c>
      <c r="S1034" s="18">
        <v>6899.3099999999995</v>
      </c>
      <c r="T1034" s="19" t="s">
        <v>36</v>
      </c>
      <c r="U1034" s="20" t="s">
        <v>600</v>
      </c>
      <c r="V1034" s="22">
        <v>40</v>
      </c>
      <c r="W1034" s="22">
        <v>4</v>
      </c>
      <c r="X1034" s="23"/>
    </row>
    <row r="1035" spans="1:24" s="1" customFormat="1" ht="26.1" customHeight="1" x14ac:dyDescent="0.3">
      <c r="A1035" s="24" t="s">
        <v>23</v>
      </c>
      <c r="B1035" s="24" t="s">
        <v>1496</v>
      </c>
      <c r="C1035" s="12" t="s">
        <v>1497</v>
      </c>
      <c r="D1035" s="55"/>
      <c r="E1035" s="39" t="str">
        <f>HYPERLINK("https://www.google.ru/search?q=3025421-001&amp;newwindow=1&amp;tbm=isch","Еще фото")</f>
        <v>Еще фото</v>
      </c>
      <c r="F1035" s="13"/>
      <c r="G1035" s="24" t="s">
        <v>808</v>
      </c>
      <c r="H1035" s="24" t="s">
        <v>593</v>
      </c>
      <c r="I1035" s="24" t="s">
        <v>809</v>
      </c>
      <c r="J1035" s="14" t="s">
        <v>29</v>
      </c>
      <c r="K1035" s="15" t="s">
        <v>30</v>
      </c>
      <c r="L1035" s="58"/>
      <c r="M1035" s="14"/>
      <c r="N1035" s="14" t="s">
        <v>33</v>
      </c>
      <c r="O1035" s="14"/>
      <c r="P1035" s="15" t="s">
        <v>1499</v>
      </c>
      <c r="Q1035" s="16">
        <v>9999</v>
      </c>
      <c r="R1035" s="17">
        <v>40</v>
      </c>
      <c r="S1035" s="18">
        <v>6899.3099999999995</v>
      </c>
      <c r="T1035" s="19" t="s">
        <v>36</v>
      </c>
      <c r="U1035" s="20" t="s">
        <v>1500</v>
      </c>
      <c r="V1035" s="22">
        <v>46</v>
      </c>
      <c r="W1035" s="22">
        <v>1</v>
      </c>
      <c r="X1035" s="23"/>
    </row>
    <row r="1036" spans="1:24" s="1" customFormat="1" ht="108" customHeight="1" x14ac:dyDescent="0.3">
      <c r="A1036" s="11" t="s">
        <v>23</v>
      </c>
      <c r="B1036" s="11" t="s">
        <v>1501</v>
      </c>
      <c r="C1036" s="12" t="s">
        <v>1502</v>
      </c>
      <c r="D1036" s="25"/>
      <c r="E1036" s="39" t="str">
        <f>HYPERLINK("https://www.google.ru/search?q=3025421-003&amp;newwindow=1&amp;tbm=isch","Еще фото")</f>
        <v>Еще фото</v>
      </c>
      <c r="F1036" s="13"/>
      <c r="G1036" s="11" t="s">
        <v>808</v>
      </c>
      <c r="H1036" s="11" t="s">
        <v>593</v>
      </c>
      <c r="I1036" s="14" t="s">
        <v>809</v>
      </c>
      <c r="J1036" s="14" t="s">
        <v>29</v>
      </c>
      <c r="K1036" s="15" t="s">
        <v>30</v>
      </c>
      <c r="L1036" s="14" t="s">
        <v>1498</v>
      </c>
      <c r="M1036" s="14"/>
      <c r="N1036" s="14" t="s">
        <v>33</v>
      </c>
      <c r="O1036" s="14"/>
      <c r="P1036" s="15" t="s">
        <v>1499</v>
      </c>
      <c r="Q1036" s="16">
        <v>9999</v>
      </c>
      <c r="R1036" s="17">
        <v>40</v>
      </c>
      <c r="S1036" s="18">
        <v>6899.3099999999995</v>
      </c>
      <c r="T1036" s="19" t="s">
        <v>36</v>
      </c>
      <c r="U1036" s="20" t="s">
        <v>599</v>
      </c>
      <c r="V1036" s="28">
        <v>39.5</v>
      </c>
      <c r="W1036" s="22">
        <v>1</v>
      </c>
      <c r="X1036" s="23"/>
    </row>
    <row r="1037" spans="1:24" s="1" customFormat="1" ht="51.95" customHeight="1" x14ac:dyDescent="0.3">
      <c r="A1037" s="11" t="s">
        <v>23</v>
      </c>
      <c r="B1037" s="11" t="s">
        <v>1402</v>
      </c>
      <c r="C1037" s="12" t="s">
        <v>1503</v>
      </c>
      <c r="D1037" s="59"/>
      <c r="E1037" s="39" t="str">
        <f>HYPERLINK("https://www.google.ru/search?q=3025424-102&amp;newwindow=1&amp;tbm=isch","Еще фото")</f>
        <v>Еще фото</v>
      </c>
      <c r="F1037" s="13"/>
      <c r="G1037" s="11" t="s">
        <v>808</v>
      </c>
      <c r="H1037" s="11" t="s">
        <v>593</v>
      </c>
      <c r="I1037" s="14" t="s">
        <v>809</v>
      </c>
      <c r="J1037" s="14" t="s">
        <v>29</v>
      </c>
      <c r="K1037" s="15" t="s">
        <v>30</v>
      </c>
      <c r="L1037" s="56" t="s">
        <v>1148</v>
      </c>
      <c r="M1037" s="14" t="s">
        <v>811</v>
      </c>
      <c r="N1037" s="14" t="s">
        <v>84</v>
      </c>
      <c r="O1037" s="14"/>
      <c r="P1037" s="15" t="s">
        <v>1150</v>
      </c>
      <c r="Q1037" s="16">
        <v>9199</v>
      </c>
      <c r="R1037" s="17">
        <v>40</v>
      </c>
      <c r="S1037" s="18">
        <v>6347.3099999999995</v>
      </c>
      <c r="T1037" s="19" t="s">
        <v>36</v>
      </c>
      <c r="U1037" s="20" t="s">
        <v>600</v>
      </c>
      <c r="V1037" s="22">
        <v>40</v>
      </c>
      <c r="W1037" s="22">
        <v>9</v>
      </c>
      <c r="X1037" s="23"/>
    </row>
    <row r="1038" spans="1:24" s="1" customFormat="1" ht="60.95" customHeight="1" x14ac:dyDescent="0.3">
      <c r="A1038" s="24" t="s">
        <v>23</v>
      </c>
      <c r="B1038" s="24" t="s">
        <v>1402</v>
      </c>
      <c r="C1038" s="12" t="s">
        <v>1503</v>
      </c>
      <c r="D1038" s="60"/>
      <c r="E1038" s="39" t="str">
        <f>HYPERLINK("https://www.google.ru/search?q=3025424-102&amp;newwindow=1&amp;tbm=isch","Еще фото")</f>
        <v>Еще фото</v>
      </c>
      <c r="F1038" s="13"/>
      <c r="G1038" s="24" t="s">
        <v>808</v>
      </c>
      <c r="H1038" s="24" t="s">
        <v>593</v>
      </c>
      <c r="I1038" s="24" t="s">
        <v>809</v>
      </c>
      <c r="J1038" s="14" t="s">
        <v>29</v>
      </c>
      <c r="K1038" s="15" t="s">
        <v>30</v>
      </c>
      <c r="L1038" s="58"/>
      <c r="M1038" s="14" t="s">
        <v>811</v>
      </c>
      <c r="N1038" s="14" t="s">
        <v>84</v>
      </c>
      <c r="O1038" s="14"/>
      <c r="P1038" s="15" t="s">
        <v>1150</v>
      </c>
      <c r="Q1038" s="16">
        <v>9199</v>
      </c>
      <c r="R1038" s="17">
        <v>40</v>
      </c>
      <c r="S1038" s="18">
        <v>6347.3099999999995</v>
      </c>
      <c r="T1038" s="19" t="s">
        <v>36</v>
      </c>
      <c r="U1038" s="20" t="s">
        <v>603</v>
      </c>
      <c r="V1038" s="22">
        <v>42</v>
      </c>
      <c r="W1038" s="22">
        <v>1</v>
      </c>
      <c r="X1038" s="23"/>
    </row>
    <row r="1039" spans="1:24" s="1" customFormat="1" ht="35.1" customHeight="1" x14ac:dyDescent="0.3">
      <c r="A1039" s="11" t="s">
        <v>23</v>
      </c>
      <c r="B1039" s="11" t="s">
        <v>1504</v>
      </c>
      <c r="C1039" s="12" t="s">
        <v>1505</v>
      </c>
      <c r="D1039" s="53"/>
      <c r="E1039" s="39" t="str">
        <f>HYPERLINK("https://www.google.ru/search?q=3025447-001&amp;newwindow=1&amp;tbm=isch","Еще фото")</f>
        <v>Еще фото</v>
      </c>
      <c r="F1039" s="13"/>
      <c r="G1039" s="11" t="s">
        <v>808</v>
      </c>
      <c r="H1039" s="11" t="s">
        <v>593</v>
      </c>
      <c r="I1039" s="14" t="s">
        <v>809</v>
      </c>
      <c r="J1039" s="14" t="s">
        <v>29</v>
      </c>
      <c r="K1039" s="15" t="s">
        <v>30</v>
      </c>
      <c r="L1039" s="56" t="s">
        <v>1506</v>
      </c>
      <c r="M1039" s="14" t="s">
        <v>824</v>
      </c>
      <c r="N1039" s="14" t="s">
        <v>91</v>
      </c>
      <c r="O1039" s="14"/>
      <c r="P1039" s="15" t="s">
        <v>1507</v>
      </c>
      <c r="Q1039" s="16">
        <v>14999</v>
      </c>
      <c r="R1039" s="17">
        <v>40</v>
      </c>
      <c r="S1039" s="18">
        <v>10349.31</v>
      </c>
      <c r="T1039" s="19" t="s">
        <v>36</v>
      </c>
      <c r="U1039" s="20" t="s">
        <v>600</v>
      </c>
      <c r="V1039" s="22">
        <v>40</v>
      </c>
      <c r="W1039" s="22">
        <v>1</v>
      </c>
      <c r="X1039" s="23"/>
    </row>
    <row r="1040" spans="1:24" s="1" customFormat="1" ht="35.1" customHeight="1" x14ac:dyDescent="0.3">
      <c r="A1040" s="24" t="s">
        <v>23</v>
      </c>
      <c r="B1040" s="24" t="s">
        <v>1504</v>
      </c>
      <c r="C1040" s="12" t="s">
        <v>1505</v>
      </c>
      <c r="D1040" s="54"/>
      <c r="E1040" s="39" t="str">
        <f>HYPERLINK("https://www.google.ru/search?q=3025447-001&amp;newwindow=1&amp;tbm=isch","Еще фото")</f>
        <v>Еще фото</v>
      </c>
      <c r="F1040" s="13"/>
      <c r="G1040" s="24" t="s">
        <v>808</v>
      </c>
      <c r="H1040" s="24" t="s">
        <v>593</v>
      </c>
      <c r="I1040" s="24" t="s">
        <v>809</v>
      </c>
      <c r="J1040" s="14" t="s">
        <v>29</v>
      </c>
      <c r="K1040" s="15" t="s">
        <v>30</v>
      </c>
      <c r="L1040" s="57"/>
      <c r="M1040" s="14" t="s">
        <v>824</v>
      </c>
      <c r="N1040" s="14" t="s">
        <v>91</v>
      </c>
      <c r="O1040" s="14"/>
      <c r="P1040" s="15" t="s">
        <v>1507</v>
      </c>
      <c r="Q1040" s="16">
        <v>14999</v>
      </c>
      <c r="R1040" s="17">
        <v>40</v>
      </c>
      <c r="S1040" s="18">
        <v>10349.31</v>
      </c>
      <c r="T1040" s="19" t="s">
        <v>36</v>
      </c>
      <c r="U1040" s="20" t="s">
        <v>601</v>
      </c>
      <c r="V1040" s="22">
        <v>41</v>
      </c>
      <c r="W1040" s="22">
        <v>4</v>
      </c>
      <c r="X1040" s="23"/>
    </row>
    <row r="1041" spans="1:24" s="1" customFormat="1" ht="36.950000000000003" customHeight="1" x14ac:dyDescent="0.3">
      <c r="A1041" s="24" t="s">
        <v>23</v>
      </c>
      <c r="B1041" s="24" t="s">
        <v>1504</v>
      </c>
      <c r="C1041" s="12" t="s">
        <v>1505</v>
      </c>
      <c r="D1041" s="55"/>
      <c r="E1041" s="39" t="str">
        <f>HYPERLINK("https://www.google.ru/search?q=3025447-001&amp;newwindow=1&amp;tbm=isch","Еще фото")</f>
        <v>Еще фото</v>
      </c>
      <c r="F1041" s="13"/>
      <c r="G1041" s="24" t="s">
        <v>808</v>
      </c>
      <c r="H1041" s="24" t="s">
        <v>593</v>
      </c>
      <c r="I1041" s="24" t="s">
        <v>809</v>
      </c>
      <c r="J1041" s="14" t="s">
        <v>29</v>
      </c>
      <c r="K1041" s="15" t="s">
        <v>30</v>
      </c>
      <c r="L1041" s="58"/>
      <c r="M1041" s="14" t="s">
        <v>824</v>
      </c>
      <c r="N1041" s="14" t="s">
        <v>91</v>
      </c>
      <c r="O1041" s="14"/>
      <c r="P1041" s="15" t="s">
        <v>1507</v>
      </c>
      <c r="Q1041" s="16">
        <v>14999</v>
      </c>
      <c r="R1041" s="17">
        <v>40</v>
      </c>
      <c r="S1041" s="18">
        <v>10349.31</v>
      </c>
      <c r="T1041" s="19" t="s">
        <v>36</v>
      </c>
      <c r="U1041" s="20" t="s">
        <v>602</v>
      </c>
      <c r="V1041" s="28">
        <v>41.5</v>
      </c>
      <c r="W1041" s="22">
        <v>2</v>
      </c>
      <c r="X1041" s="23"/>
    </row>
    <row r="1042" spans="1:24" s="1" customFormat="1" ht="35.1" customHeight="1" x14ac:dyDescent="0.3">
      <c r="A1042" s="11" t="s">
        <v>23</v>
      </c>
      <c r="B1042" s="11" t="s">
        <v>1508</v>
      </c>
      <c r="C1042" s="12" t="s">
        <v>1509</v>
      </c>
      <c r="D1042" s="53"/>
      <c r="E1042" s="39" t="str">
        <f>HYPERLINK("https://www.google.ru/search?q=3025516-104&amp;newwindow=1&amp;tbm=isch","Еще фото")</f>
        <v>Еще фото</v>
      </c>
      <c r="F1042" s="13"/>
      <c r="G1042" s="11" t="s">
        <v>808</v>
      </c>
      <c r="H1042" s="11" t="s">
        <v>593</v>
      </c>
      <c r="I1042" s="14" t="s">
        <v>809</v>
      </c>
      <c r="J1042" s="14" t="s">
        <v>29</v>
      </c>
      <c r="K1042" s="15" t="s">
        <v>30</v>
      </c>
      <c r="L1042" s="56" t="s">
        <v>1510</v>
      </c>
      <c r="M1042" s="14" t="s">
        <v>824</v>
      </c>
      <c r="N1042" s="14" t="s">
        <v>74</v>
      </c>
      <c r="O1042" s="14"/>
      <c r="P1042" s="15" t="s">
        <v>1511</v>
      </c>
      <c r="Q1042" s="16">
        <v>21999</v>
      </c>
      <c r="R1042" s="17">
        <v>40</v>
      </c>
      <c r="S1042" s="18">
        <v>15179.309999999998</v>
      </c>
      <c r="T1042" s="19" t="s">
        <v>36</v>
      </c>
      <c r="U1042" s="20" t="s">
        <v>600</v>
      </c>
      <c r="V1042" s="22">
        <v>40</v>
      </c>
      <c r="W1042" s="22">
        <v>1</v>
      </c>
      <c r="X1042" s="23"/>
    </row>
    <row r="1043" spans="1:24" s="1" customFormat="1" ht="35.1" customHeight="1" x14ac:dyDescent="0.3">
      <c r="A1043" s="24" t="s">
        <v>23</v>
      </c>
      <c r="B1043" s="24" t="s">
        <v>1508</v>
      </c>
      <c r="C1043" s="12" t="s">
        <v>1509</v>
      </c>
      <c r="D1043" s="54"/>
      <c r="E1043" s="39" t="str">
        <f>HYPERLINK("https://www.google.ru/search?q=3025516-104&amp;newwindow=1&amp;tbm=isch","Еще фото")</f>
        <v>Еще фото</v>
      </c>
      <c r="F1043" s="13"/>
      <c r="G1043" s="24" t="s">
        <v>808</v>
      </c>
      <c r="H1043" s="24" t="s">
        <v>593</v>
      </c>
      <c r="I1043" s="24" t="s">
        <v>809</v>
      </c>
      <c r="J1043" s="14" t="s">
        <v>29</v>
      </c>
      <c r="K1043" s="15" t="s">
        <v>30</v>
      </c>
      <c r="L1043" s="57"/>
      <c r="M1043" s="14" t="s">
        <v>824</v>
      </c>
      <c r="N1043" s="14" t="s">
        <v>74</v>
      </c>
      <c r="O1043" s="14"/>
      <c r="P1043" s="15" t="s">
        <v>1511</v>
      </c>
      <c r="Q1043" s="16">
        <v>21999</v>
      </c>
      <c r="R1043" s="17">
        <v>40</v>
      </c>
      <c r="S1043" s="18">
        <v>15179.309999999998</v>
      </c>
      <c r="T1043" s="19" t="s">
        <v>36</v>
      </c>
      <c r="U1043" s="20" t="s">
        <v>601</v>
      </c>
      <c r="V1043" s="22">
        <v>41</v>
      </c>
      <c r="W1043" s="22">
        <v>1</v>
      </c>
      <c r="X1043" s="23"/>
    </row>
    <row r="1044" spans="1:24" s="1" customFormat="1" ht="36.950000000000003" customHeight="1" x14ac:dyDescent="0.3">
      <c r="A1044" s="24" t="s">
        <v>23</v>
      </c>
      <c r="B1044" s="24" t="s">
        <v>1508</v>
      </c>
      <c r="C1044" s="12" t="s">
        <v>1509</v>
      </c>
      <c r="D1044" s="55"/>
      <c r="E1044" s="39" t="str">
        <f>HYPERLINK("https://www.google.ru/search?q=3025516-104&amp;newwindow=1&amp;tbm=isch","Еще фото")</f>
        <v>Еще фото</v>
      </c>
      <c r="F1044" s="13"/>
      <c r="G1044" s="24" t="s">
        <v>808</v>
      </c>
      <c r="H1044" s="24" t="s">
        <v>593</v>
      </c>
      <c r="I1044" s="24" t="s">
        <v>809</v>
      </c>
      <c r="J1044" s="14" t="s">
        <v>29</v>
      </c>
      <c r="K1044" s="15" t="s">
        <v>30</v>
      </c>
      <c r="L1044" s="58"/>
      <c r="M1044" s="14" t="s">
        <v>824</v>
      </c>
      <c r="N1044" s="14" t="s">
        <v>74</v>
      </c>
      <c r="O1044" s="14"/>
      <c r="P1044" s="15" t="s">
        <v>1511</v>
      </c>
      <c r="Q1044" s="16">
        <v>21999</v>
      </c>
      <c r="R1044" s="17">
        <v>40</v>
      </c>
      <c r="S1044" s="18">
        <v>15179.309999999998</v>
      </c>
      <c r="T1044" s="19" t="s">
        <v>36</v>
      </c>
      <c r="U1044" s="20" t="s">
        <v>603</v>
      </c>
      <c r="V1044" s="22">
        <v>42</v>
      </c>
      <c r="W1044" s="22">
        <v>1</v>
      </c>
      <c r="X1044" s="23"/>
    </row>
    <row r="1045" spans="1:24" s="1" customFormat="1" ht="51.95" customHeight="1" x14ac:dyDescent="0.3">
      <c r="A1045" s="11" t="s">
        <v>23</v>
      </c>
      <c r="B1045" s="11" t="s">
        <v>1512</v>
      </c>
      <c r="C1045" s="12" t="s">
        <v>1513</v>
      </c>
      <c r="D1045" s="59"/>
      <c r="E1045" s="39" t="str">
        <f>HYPERLINK("https://www.google.ru/search?q=3025516-603&amp;newwindow=1&amp;tbm=isch","Еще фото")</f>
        <v>Еще фото</v>
      </c>
      <c r="F1045" s="13"/>
      <c r="G1045" s="11" t="s">
        <v>808</v>
      </c>
      <c r="H1045" s="11" t="s">
        <v>593</v>
      </c>
      <c r="I1045" s="14" t="s">
        <v>809</v>
      </c>
      <c r="J1045" s="14" t="s">
        <v>29</v>
      </c>
      <c r="K1045" s="15" t="s">
        <v>30</v>
      </c>
      <c r="L1045" s="56" t="s">
        <v>1510</v>
      </c>
      <c r="M1045" s="14" t="s">
        <v>824</v>
      </c>
      <c r="N1045" s="14" t="s">
        <v>1514</v>
      </c>
      <c r="O1045" s="14"/>
      <c r="P1045" s="15" t="s">
        <v>1515</v>
      </c>
      <c r="Q1045" s="16">
        <v>21999</v>
      </c>
      <c r="R1045" s="17">
        <v>40</v>
      </c>
      <c r="S1045" s="18">
        <v>15179.309999999998</v>
      </c>
      <c r="T1045" s="19" t="s">
        <v>36</v>
      </c>
      <c r="U1045" s="20" t="s">
        <v>602</v>
      </c>
      <c r="V1045" s="28">
        <v>41.5</v>
      </c>
      <c r="W1045" s="22">
        <v>6</v>
      </c>
      <c r="X1045" s="23"/>
    </row>
    <row r="1046" spans="1:24" s="1" customFormat="1" ht="60.95" customHeight="1" x14ac:dyDescent="0.3">
      <c r="A1046" s="24" t="s">
        <v>23</v>
      </c>
      <c r="B1046" s="24" t="s">
        <v>1512</v>
      </c>
      <c r="C1046" s="12" t="s">
        <v>1513</v>
      </c>
      <c r="D1046" s="60"/>
      <c r="E1046" s="39" t="str">
        <f>HYPERLINK("https://www.google.ru/search?q=3025516-603&amp;newwindow=1&amp;tbm=isch","Еще фото")</f>
        <v>Еще фото</v>
      </c>
      <c r="F1046" s="13"/>
      <c r="G1046" s="24" t="s">
        <v>808</v>
      </c>
      <c r="H1046" s="24" t="s">
        <v>593</v>
      </c>
      <c r="I1046" s="24" t="s">
        <v>809</v>
      </c>
      <c r="J1046" s="14" t="s">
        <v>29</v>
      </c>
      <c r="K1046" s="15" t="s">
        <v>30</v>
      </c>
      <c r="L1046" s="58"/>
      <c r="M1046" s="14" t="s">
        <v>824</v>
      </c>
      <c r="N1046" s="14" t="s">
        <v>1514</v>
      </c>
      <c r="O1046" s="14"/>
      <c r="P1046" s="15" t="s">
        <v>1515</v>
      </c>
      <c r="Q1046" s="16">
        <v>21999</v>
      </c>
      <c r="R1046" s="17">
        <v>40</v>
      </c>
      <c r="S1046" s="18">
        <v>15179.309999999998</v>
      </c>
      <c r="T1046" s="19" t="s">
        <v>36</v>
      </c>
      <c r="U1046" s="20" t="s">
        <v>604</v>
      </c>
      <c r="V1046" s="22">
        <v>43</v>
      </c>
      <c r="W1046" s="22">
        <v>6</v>
      </c>
      <c r="X1046" s="23"/>
    </row>
    <row r="1047" spans="1:24" s="1" customFormat="1" ht="14.1" customHeight="1" x14ac:dyDescent="0.3">
      <c r="A1047" s="11" t="s">
        <v>23</v>
      </c>
      <c r="B1047" s="11" t="s">
        <v>1516</v>
      </c>
      <c r="C1047" s="12" t="s">
        <v>1517</v>
      </c>
      <c r="D1047" s="53"/>
      <c r="E1047" s="39" t="str">
        <f t="shared" ref="E1047:E1053" si="18">HYPERLINK("https://www.google.ru/search?q=3025518-003&amp;newwindow=1&amp;tbm=isch","Еще фото")</f>
        <v>Еще фото</v>
      </c>
      <c r="F1047" s="13"/>
      <c r="G1047" s="11" t="s">
        <v>808</v>
      </c>
      <c r="H1047" s="11" t="s">
        <v>593</v>
      </c>
      <c r="I1047" s="14" t="s">
        <v>809</v>
      </c>
      <c r="J1047" s="14" t="s">
        <v>29</v>
      </c>
      <c r="K1047" s="15" t="s">
        <v>30</v>
      </c>
      <c r="L1047" s="56" t="s">
        <v>1518</v>
      </c>
      <c r="M1047" s="14" t="s">
        <v>824</v>
      </c>
      <c r="N1047" s="14" t="s">
        <v>1519</v>
      </c>
      <c r="O1047" s="14"/>
      <c r="P1047" s="15" t="s">
        <v>1520</v>
      </c>
      <c r="Q1047" s="16">
        <v>18999</v>
      </c>
      <c r="R1047" s="17">
        <v>40</v>
      </c>
      <c r="S1047" s="18">
        <v>13109.309999999998</v>
      </c>
      <c r="T1047" s="19" t="s">
        <v>36</v>
      </c>
      <c r="U1047" s="20" t="s">
        <v>598</v>
      </c>
      <c r="V1047" s="22">
        <v>39</v>
      </c>
      <c r="W1047" s="22">
        <v>2</v>
      </c>
      <c r="X1047" s="23"/>
    </row>
    <row r="1048" spans="1:24" s="1" customFormat="1" ht="14.1" customHeight="1" x14ac:dyDescent="0.3">
      <c r="A1048" s="24" t="s">
        <v>23</v>
      </c>
      <c r="B1048" s="24" t="s">
        <v>1516</v>
      </c>
      <c r="C1048" s="12" t="s">
        <v>1517</v>
      </c>
      <c r="D1048" s="54"/>
      <c r="E1048" s="39" t="str">
        <f t="shared" si="18"/>
        <v>Еще фото</v>
      </c>
      <c r="F1048" s="13"/>
      <c r="G1048" s="24" t="s">
        <v>808</v>
      </c>
      <c r="H1048" s="24" t="s">
        <v>593</v>
      </c>
      <c r="I1048" s="24" t="s">
        <v>809</v>
      </c>
      <c r="J1048" s="14" t="s">
        <v>29</v>
      </c>
      <c r="K1048" s="15" t="s">
        <v>30</v>
      </c>
      <c r="L1048" s="57"/>
      <c r="M1048" s="14" t="s">
        <v>824</v>
      </c>
      <c r="N1048" s="14" t="s">
        <v>1519</v>
      </c>
      <c r="O1048" s="14"/>
      <c r="P1048" s="15" t="s">
        <v>1520</v>
      </c>
      <c r="Q1048" s="16">
        <v>18999</v>
      </c>
      <c r="R1048" s="17">
        <v>40</v>
      </c>
      <c r="S1048" s="18">
        <v>13109.309999999998</v>
      </c>
      <c r="T1048" s="19" t="s">
        <v>36</v>
      </c>
      <c r="U1048" s="20" t="s">
        <v>599</v>
      </c>
      <c r="V1048" s="28">
        <v>39.5</v>
      </c>
      <c r="W1048" s="22">
        <v>2</v>
      </c>
      <c r="X1048" s="23"/>
    </row>
    <row r="1049" spans="1:24" s="1" customFormat="1" ht="14.1" customHeight="1" x14ac:dyDescent="0.3">
      <c r="A1049" s="24" t="s">
        <v>23</v>
      </c>
      <c r="B1049" s="24" t="s">
        <v>1516</v>
      </c>
      <c r="C1049" s="12" t="s">
        <v>1517</v>
      </c>
      <c r="D1049" s="54"/>
      <c r="E1049" s="39" t="str">
        <f t="shared" si="18"/>
        <v>Еще фото</v>
      </c>
      <c r="F1049" s="13"/>
      <c r="G1049" s="24" t="s">
        <v>808</v>
      </c>
      <c r="H1049" s="24" t="s">
        <v>593</v>
      </c>
      <c r="I1049" s="24" t="s">
        <v>809</v>
      </c>
      <c r="J1049" s="14" t="s">
        <v>29</v>
      </c>
      <c r="K1049" s="15" t="s">
        <v>30</v>
      </c>
      <c r="L1049" s="57"/>
      <c r="M1049" s="14" t="s">
        <v>824</v>
      </c>
      <c r="N1049" s="14" t="s">
        <v>1519</v>
      </c>
      <c r="O1049" s="14"/>
      <c r="P1049" s="15" t="s">
        <v>1520</v>
      </c>
      <c r="Q1049" s="16">
        <v>18999</v>
      </c>
      <c r="R1049" s="17">
        <v>40</v>
      </c>
      <c r="S1049" s="18">
        <v>13109.309999999998</v>
      </c>
      <c r="T1049" s="19" t="s">
        <v>36</v>
      </c>
      <c r="U1049" s="20" t="s">
        <v>600</v>
      </c>
      <c r="V1049" s="22">
        <v>40</v>
      </c>
      <c r="W1049" s="22">
        <v>9</v>
      </c>
      <c r="X1049" s="23"/>
    </row>
    <row r="1050" spans="1:24" s="1" customFormat="1" ht="14.1" customHeight="1" x14ac:dyDescent="0.3">
      <c r="A1050" s="24" t="s">
        <v>23</v>
      </c>
      <c r="B1050" s="24" t="s">
        <v>1516</v>
      </c>
      <c r="C1050" s="12" t="s">
        <v>1517</v>
      </c>
      <c r="D1050" s="54"/>
      <c r="E1050" s="39" t="str">
        <f t="shared" si="18"/>
        <v>Еще фото</v>
      </c>
      <c r="F1050" s="13"/>
      <c r="G1050" s="24" t="s">
        <v>808</v>
      </c>
      <c r="H1050" s="24" t="s">
        <v>593</v>
      </c>
      <c r="I1050" s="24" t="s">
        <v>809</v>
      </c>
      <c r="J1050" s="14" t="s">
        <v>29</v>
      </c>
      <c r="K1050" s="15" t="s">
        <v>30</v>
      </c>
      <c r="L1050" s="57"/>
      <c r="M1050" s="14" t="s">
        <v>824</v>
      </c>
      <c r="N1050" s="14" t="s">
        <v>1519</v>
      </c>
      <c r="O1050" s="14"/>
      <c r="P1050" s="15" t="s">
        <v>1520</v>
      </c>
      <c r="Q1050" s="16">
        <v>18999</v>
      </c>
      <c r="R1050" s="17">
        <v>40</v>
      </c>
      <c r="S1050" s="18">
        <v>13109.309999999998</v>
      </c>
      <c r="T1050" s="19" t="s">
        <v>36</v>
      </c>
      <c r="U1050" s="20" t="s">
        <v>601</v>
      </c>
      <c r="V1050" s="22">
        <v>41</v>
      </c>
      <c r="W1050" s="22">
        <v>14</v>
      </c>
      <c r="X1050" s="23"/>
    </row>
    <row r="1051" spans="1:24" s="1" customFormat="1" ht="14.1" customHeight="1" x14ac:dyDescent="0.3">
      <c r="A1051" s="24" t="s">
        <v>23</v>
      </c>
      <c r="B1051" s="24" t="s">
        <v>1516</v>
      </c>
      <c r="C1051" s="12" t="s">
        <v>1517</v>
      </c>
      <c r="D1051" s="54"/>
      <c r="E1051" s="39" t="str">
        <f t="shared" si="18"/>
        <v>Еще фото</v>
      </c>
      <c r="F1051" s="13"/>
      <c r="G1051" s="24" t="s">
        <v>808</v>
      </c>
      <c r="H1051" s="24" t="s">
        <v>593</v>
      </c>
      <c r="I1051" s="24" t="s">
        <v>809</v>
      </c>
      <c r="J1051" s="14" t="s">
        <v>29</v>
      </c>
      <c r="K1051" s="15" t="s">
        <v>30</v>
      </c>
      <c r="L1051" s="57"/>
      <c r="M1051" s="14" t="s">
        <v>824</v>
      </c>
      <c r="N1051" s="14" t="s">
        <v>1519</v>
      </c>
      <c r="O1051" s="14"/>
      <c r="P1051" s="15" t="s">
        <v>1520</v>
      </c>
      <c r="Q1051" s="16">
        <v>18999</v>
      </c>
      <c r="R1051" s="17">
        <v>40</v>
      </c>
      <c r="S1051" s="18">
        <v>13109.309999999998</v>
      </c>
      <c r="T1051" s="19" t="s">
        <v>36</v>
      </c>
      <c r="U1051" s="20" t="s">
        <v>602</v>
      </c>
      <c r="V1051" s="28">
        <v>41.5</v>
      </c>
      <c r="W1051" s="22">
        <v>7</v>
      </c>
      <c r="X1051" s="23"/>
    </row>
    <row r="1052" spans="1:24" s="1" customFormat="1" ht="14.1" customHeight="1" x14ac:dyDescent="0.3">
      <c r="A1052" s="24" t="s">
        <v>23</v>
      </c>
      <c r="B1052" s="24" t="s">
        <v>1516</v>
      </c>
      <c r="C1052" s="12" t="s">
        <v>1517</v>
      </c>
      <c r="D1052" s="54"/>
      <c r="E1052" s="39" t="str">
        <f t="shared" si="18"/>
        <v>Еще фото</v>
      </c>
      <c r="F1052" s="13"/>
      <c r="G1052" s="24" t="s">
        <v>808</v>
      </c>
      <c r="H1052" s="24" t="s">
        <v>593</v>
      </c>
      <c r="I1052" s="24" t="s">
        <v>809</v>
      </c>
      <c r="J1052" s="14" t="s">
        <v>29</v>
      </c>
      <c r="K1052" s="15" t="s">
        <v>30</v>
      </c>
      <c r="L1052" s="57"/>
      <c r="M1052" s="14" t="s">
        <v>824</v>
      </c>
      <c r="N1052" s="14" t="s">
        <v>1519</v>
      </c>
      <c r="O1052" s="14"/>
      <c r="P1052" s="15" t="s">
        <v>1520</v>
      </c>
      <c r="Q1052" s="16">
        <v>18999</v>
      </c>
      <c r="R1052" s="17">
        <v>40</v>
      </c>
      <c r="S1052" s="18">
        <v>13109.309999999998</v>
      </c>
      <c r="T1052" s="19" t="s">
        <v>36</v>
      </c>
      <c r="U1052" s="20" t="s">
        <v>603</v>
      </c>
      <c r="V1052" s="22">
        <v>42</v>
      </c>
      <c r="W1052" s="22">
        <v>3</v>
      </c>
      <c r="X1052" s="23"/>
    </row>
    <row r="1053" spans="1:24" s="1" customFormat="1" ht="17.100000000000001" customHeight="1" x14ac:dyDescent="0.3">
      <c r="A1053" s="24" t="s">
        <v>23</v>
      </c>
      <c r="B1053" s="24" t="s">
        <v>1516</v>
      </c>
      <c r="C1053" s="12" t="s">
        <v>1517</v>
      </c>
      <c r="D1053" s="55"/>
      <c r="E1053" s="39" t="str">
        <f t="shared" si="18"/>
        <v>Еще фото</v>
      </c>
      <c r="F1053" s="13"/>
      <c r="G1053" s="24" t="s">
        <v>808</v>
      </c>
      <c r="H1053" s="24" t="s">
        <v>593</v>
      </c>
      <c r="I1053" s="24" t="s">
        <v>809</v>
      </c>
      <c r="J1053" s="14" t="s">
        <v>29</v>
      </c>
      <c r="K1053" s="15" t="s">
        <v>30</v>
      </c>
      <c r="L1053" s="58"/>
      <c r="M1053" s="14" t="s">
        <v>824</v>
      </c>
      <c r="N1053" s="14" t="s">
        <v>1519</v>
      </c>
      <c r="O1053" s="14"/>
      <c r="P1053" s="15" t="s">
        <v>1520</v>
      </c>
      <c r="Q1053" s="16">
        <v>18999</v>
      </c>
      <c r="R1053" s="17">
        <v>40</v>
      </c>
      <c r="S1053" s="18">
        <v>13109.309999999998</v>
      </c>
      <c r="T1053" s="19" t="s">
        <v>36</v>
      </c>
      <c r="U1053" s="20" t="s">
        <v>604</v>
      </c>
      <c r="V1053" s="22">
        <v>43</v>
      </c>
      <c r="W1053" s="22">
        <v>2</v>
      </c>
      <c r="X1053" s="23"/>
    </row>
    <row r="1054" spans="1:24" s="1" customFormat="1" ht="108" customHeight="1" x14ac:dyDescent="0.3">
      <c r="A1054" s="11" t="s">
        <v>23</v>
      </c>
      <c r="B1054" s="11" t="s">
        <v>1166</v>
      </c>
      <c r="C1054" s="12" t="s">
        <v>1521</v>
      </c>
      <c r="D1054" s="25"/>
      <c r="E1054" s="39" t="str">
        <f>HYPERLINK("https://www.google.ru/search?q=3025527-001&amp;newwindow=1&amp;tbm=isch","Еще фото")</f>
        <v>Еще фото</v>
      </c>
      <c r="F1054" s="13"/>
      <c r="G1054" s="11" t="s">
        <v>808</v>
      </c>
      <c r="H1054" s="11" t="s">
        <v>593</v>
      </c>
      <c r="I1054" s="14" t="s">
        <v>809</v>
      </c>
      <c r="J1054" s="14" t="s">
        <v>29</v>
      </c>
      <c r="K1054" s="15" t="s">
        <v>30</v>
      </c>
      <c r="L1054" s="14" t="s">
        <v>1168</v>
      </c>
      <c r="M1054" s="14" t="s">
        <v>811</v>
      </c>
      <c r="N1054" s="14" t="s">
        <v>33</v>
      </c>
      <c r="O1054" s="14"/>
      <c r="P1054" s="15" t="s">
        <v>1169</v>
      </c>
      <c r="Q1054" s="16">
        <v>11999</v>
      </c>
      <c r="R1054" s="17">
        <v>40</v>
      </c>
      <c r="S1054" s="18">
        <v>8279.31</v>
      </c>
      <c r="T1054" s="19" t="s">
        <v>36</v>
      </c>
      <c r="U1054" s="20" t="s">
        <v>604</v>
      </c>
      <c r="V1054" s="22">
        <v>43</v>
      </c>
      <c r="W1054" s="22">
        <v>1</v>
      </c>
      <c r="X1054" s="23"/>
    </row>
    <row r="1055" spans="1:24" s="1" customFormat="1" ht="17.100000000000001" customHeight="1" x14ac:dyDescent="0.3">
      <c r="A1055" s="11" t="s">
        <v>23</v>
      </c>
      <c r="B1055" s="11" t="s">
        <v>1522</v>
      </c>
      <c r="C1055" s="12" t="s">
        <v>1523</v>
      </c>
      <c r="D1055" s="53"/>
      <c r="E1055" s="39" t="str">
        <f t="shared" ref="E1055:E1060" si="19">HYPERLINK("https://www.google.ru/search?q=3026017-105&amp;newwindow=1&amp;tbm=isch","Еще фото")</f>
        <v>Еще фото</v>
      </c>
      <c r="F1055" s="13"/>
      <c r="G1055" s="11" t="s">
        <v>808</v>
      </c>
      <c r="H1055" s="11" t="s">
        <v>593</v>
      </c>
      <c r="I1055" s="14" t="s">
        <v>809</v>
      </c>
      <c r="J1055" s="14" t="s">
        <v>29</v>
      </c>
      <c r="K1055" s="15" t="s">
        <v>30</v>
      </c>
      <c r="L1055" s="56" t="s">
        <v>1524</v>
      </c>
      <c r="M1055" s="14"/>
      <c r="N1055" s="14" t="s">
        <v>84</v>
      </c>
      <c r="O1055" s="14"/>
      <c r="P1055" s="15" t="s">
        <v>1525</v>
      </c>
      <c r="Q1055" s="16">
        <v>14999</v>
      </c>
      <c r="R1055" s="17">
        <v>40</v>
      </c>
      <c r="S1055" s="18">
        <v>10349.31</v>
      </c>
      <c r="T1055" s="19" t="s">
        <v>36</v>
      </c>
      <c r="U1055" s="20" t="s">
        <v>599</v>
      </c>
      <c r="V1055" s="28">
        <v>39.5</v>
      </c>
      <c r="W1055" s="22">
        <v>3</v>
      </c>
      <c r="X1055" s="23"/>
    </row>
    <row r="1056" spans="1:24" s="1" customFormat="1" ht="17.100000000000001" customHeight="1" x14ac:dyDescent="0.3">
      <c r="A1056" s="24" t="s">
        <v>23</v>
      </c>
      <c r="B1056" s="24" t="s">
        <v>1522</v>
      </c>
      <c r="C1056" s="12" t="s">
        <v>1523</v>
      </c>
      <c r="D1056" s="54"/>
      <c r="E1056" s="39" t="str">
        <f t="shared" si="19"/>
        <v>Еще фото</v>
      </c>
      <c r="F1056" s="13"/>
      <c r="G1056" s="24" t="s">
        <v>808</v>
      </c>
      <c r="H1056" s="24" t="s">
        <v>593</v>
      </c>
      <c r="I1056" s="24" t="s">
        <v>809</v>
      </c>
      <c r="J1056" s="14" t="s">
        <v>29</v>
      </c>
      <c r="K1056" s="15" t="s">
        <v>30</v>
      </c>
      <c r="L1056" s="57"/>
      <c r="M1056" s="14"/>
      <c r="N1056" s="14" t="s">
        <v>84</v>
      </c>
      <c r="O1056" s="14"/>
      <c r="P1056" s="15" t="s">
        <v>1525</v>
      </c>
      <c r="Q1056" s="16">
        <v>14999</v>
      </c>
      <c r="R1056" s="17">
        <v>40</v>
      </c>
      <c r="S1056" s="18">
        <v>10349.31</v>
      </c>
      <c r="T1056" s="19" t="s">
        <v>36</v>
      </c>
      <c r="U1056" s="20" t="s">
        <v>601</v>
      </c>
      <c r="V1056" s="22">
        <v>41</v>
      </c>
      <c r="W1056" s="22">
        <v>1</v>
      </c>
      <c r="X1056" s="23"/>
    </row>
    <row r="1057" spans="1:24" s="1" customFormat="1" ht="17.100000000000001" customHeight="1" x14ac:dyDescent="0.3">
      <c r="A1057" s="24" t="s">
        <v>23</v>
      </c>
      <c r="B1057" s="24" t="s">
        <v>1522</v>
      </c>
      <c r="C1057" s="12" t="s">
        <v>1523</v>
      </c>
      <c r="D1057" s="54"/>
      <c r="E1057" s="39" t="str">
        <f t="shared" si="19"/>
        <v>Еще фото</v>
      </c>
      <c r="F1057" s="13"/>
      <c r="G1057" s="24" t="s">
        <v>808</v>
      </c>
      <c r="H1057" s="24" t="s">
        <v>593</v>
      </c>
      <c r="I1057" s="24" t="s">
        <v>809</v>
      </c>
      <c r="J1057" s="14" t="s">
        <v>29</v>
      </c>
      <c r="K1057" s="15" t="s">
        <v>30</v>
      </c>
      <c r="L1057" s="57"/>
      <c r="M1057" s="14"/>
      <c r="N1057" s="14" t="s">
        <v>84</v>
      </c>
      <c r="O1057" s="14"/>
      <c r="P1057" s="15" t="s">
        <v>1525</v>
      </c>
      <c r="Q1057" s="16">
        <v>14999</v>
      </c>
      <c r="R1057" s="17">
        <v>40</v>
      </c>
      <c r="S1057" s="18">
        <v>10349.31</v>
      </c>
      <c r="T1057" s="19" t="s">
        <v>36</v>
      </c>
      <c r="U1057" s="20" t="s">
        <v>602</v>
      </c>
      <c r="V1057" s="28">
        <v>41.5</v>
      </c>
      <c r="W1057" s="22">
        <v>4</v>
      </c>
      <c r="X1057" s="23"/>
    </row>
    <row r="1058" spans="1:24" s="1" customFormat="1" ht="17.100000000000001" customHeight="1" x14ac:dyDescent="0.3">
      <c r="A1058" s="24" t="s">
        <v>23</v>
      </c>
      <c r="B1058" s="24" t="s">
        <v>1522</v>
      </c>
      <c r="C1058" s="12" t="s">
        <v>1523</v>
      </c>
      <c r="D1058" s="54"/>
      <c r="E1058" s="39" t="str">
        <f t="shared" si="19"/>
        <v>Еще фото</v>
      </c>
      <c r="F1058" s="13"/>
      <c r="G1058" s="24" t="s">
        <v>808</v>
      </c>
      <c r="H1058" s="24" t="s">
        <v>593</v>
      </c>
      <c r="I1058" s="24" t="s">
        <v>809</v>
      </c>
      <c r="J1058" s="14" t="s">
        <v>29</v>
      </c>
      <c r="K1058" s="15" t="s">
        <v>30</v>
      </c>
      <c r="L1058" s="57"/>
      <c r="M1058" s="14"/>
      <c r="N1058" s="14" t="s">
        <v>84</v>
      </c>
      <c r="O1058" s="14"/>
      <c r="P1058" s="15" t="s">
        <v>1525</v>
      </c>
      <c r="Q1058" s="16">
        <v>14999</v>
      </c>
      <c r="R1058" s="17">
        <v>40</v>
      </c>
      <c r="S1058" s="18">
        <v>10349.31</v>
      </c>
      <c r="T1058" s="19" t="s">
        <v>36</v>
      </c>
      <c r="U1058" s="20" t="s">
        <v>603</v>
      </c>
      <c r="V1058" s="22">
        <v>42</v>
      </c>
      <c r="W1058" s="22">
        <v>3</v>
      </c>
      <c r="X1058" s="23"/>
    </row>
    <row r="1059" spans="1:24" s="1" customFormat="1" ht="17.100000000000001" customHeight="1" x14ac:dyDescent="0.3">
      <c r="A1059" s="24" t="s">
        <v>23</v>
      </c>
      <c r="B1059" s="24" t="s">
        <v>1522</v>
      </c>
      <c r="C1059" s="12" t="s">
        <v>1523</v>
      </c>
      <c r="D1059" s="54"/>
      <c r="E1059" s="39" t="str">
        <f t="shared" si="19"/>
        <v>Еще фото</v>
      </c>
      <c r="F1059" s="13"/>
      <c r="G1059" s="24" t="s">
        <v>808</v>
      </c>
      <c r="H1059" s="24" t="s">
        <v>593</v>
      </c>
      <c r="I1059" s="24" t="s">
        <v>809</v>
      </c>
      <c r="J1059" s="14" t="s">
        <v>29</v>
      </c>
      <c r="K1059" s="15" t="s">
        <v>30</v>
      </c>
      <c r="L1059" s="57"/>
      <c r="M1059" s="14"/>
      <c r="N1059" s="14" t="s">
        <v>84</v>
      </c>
      <c r="O1059" s="14"/>
      <c r="P1059" s="15" t="s">
        <v>1525</v>
      </c>
      <c r="Q1059" s="16">
        <v>14999</v>
      </c>
      <c r="R1059" s="17">
        <v>40</v>
      </c>
      <c r="S1059" s="18">
        <v>10349.31</v>
      </c>
      <c r="T1059" s="19" t="s">
        <v>36</v>
      </c>
      <c r="U1059" s="20" t="s">
        <v>604</v>
      </c>
      <c r="V1059" s="22">
        <v>43</v>
      </c>
      <c r="W1059" s="22">
        <v>1</v>
      </c>
      <c r="X1059" s="23"/>
    </row>
    <row r="1060" spans="1:24" s="1" customFormat="1" ht="21.95" customHeight="1" x14ac:dyDescent="0.3">
      <c r="A1060" s="24" t="s">
        <v>23</v>
      </c>
      <c r="B1060" s="24" t="s">
        <v>1522</v>
      </c>
      <c r="C1060" s="12" t="s">
        <v>1523</v>
      </c>
      <c r="D1060" s="55"/>
      <c r="E1060" s="39" t="str">
        <f t="shared" si="19"/>
        <v>Еще фото</v>
      </c>
      <c r="F1060" s="13"/>
      <c r="G1060" s="24" t="s">
        <v>808</v>
      </c>
      <c r="H1060" s="24" t="s">
        <v>593</v>
      </c>
      <c r="I1060" s="24" t="s">
        <v>809</v>
      </c>
      <c r="J1060" s="14" t="s">
        <v>29</v>
      </c>
      <c r="K1060" s="15" t="s">
        <v>30</v>
      </c>
      <c r="L1060" s="58"/>
      <c r="M1060" s="14"/>
      <c r="N1060" s="14" t="s">
        <v>84</v>
      </c>
      <c r="O1060" s="14"/>
      <c r="P1060" s="15" t="s">
        <v>1525</v>
      </c>
      <c r="Q1060" s="16">
        <v>14999</v>
      </c>
      <c r="R1060" s="17">
        <v>40</v>
      </c>
      <c r="S1060" s="18">
        <v>10349.31</v>
      </c>
      <c r="T1060" s="19" t="s">
        <v>36</v>
      </c>
      <c r="U1060" s="20" t="s">
        <v>605</v>
      </c>
      <c r="V1060" s="28">
        <v>43.5</v>
      </c>
      <c r="W1060" s="22">
        <v>3</v>
      </c>
      <c r="X1060" s="23"/>
    </row>
    <row r="1061" spans="1:24" s="1" customFormat="1" ht="108" customHeight="1" x14ac:dyDescent="0.3">
      <c r="A1061" s="11" t="s">
        <v>23</v>
      </c>
      <c r="B1061" s="11" t="s">
        <v>1526</v>
      </c>
      <c r="C1061" s="12" t="s">
        <v>1527</v>
      </c>
      <c r="D1061" s="25"/>
      <c r="E1061" s="39" t="str">
        <f>HYPERLINK("https://www.google.ru/search?q=3026121-001&amp;newwindow=1&amp;tbm=isch","Еще фото")</f>
        <v>Еще фото</v>
      </c>
      <c r="F1061" s="13"/>
      <c r="G1061" s="11" t="s">
        <v>808</v>
      </c>
      <c r="H1061" s="11" t="s">
        <v>593</v>
      </c>
      <c r="I1061" s="14" t="s">
        <v>809</v>
      </c>
      <c r="J1061" s="14" t="s">
        <v>29</v>
      </c>
      <c r="K1061" s="15" t="s">
        <v>30</v>
      </c>
      <c r="L1061" s="14" t="s">
        <v>1350</v>
      </c>
      <c r="M1061" s="14" t="s">
        <v>824</v>
      </c>
      <c r="N1061" s="14" t="s">
        <v>33</v>
      </c>
      <c r="O1061" s="14"/>
      <c r="P1061" s="15" t="s">
        <v>1528</v>
      </c>
      <c r="Q1061" s="16">
        <v>18799</v>
      </c>
      <c r="R1061" s="17">
        <v>40</v>
      </c>
      <c r="S1061" s="18">
        <v>12971.309999999998</v>
      </c>
      <c r="T1061" s="19" t="s">
        <v>36</v>
      </c>
      <c r="U1061" s="20" t="s">
        <v>599</v>
      </c>
      <c r="V1061" s="28">
        <v>39.5</v>
      </c>
      <c r="W1061" s="22">
        <v>2</v>
      </c>
      <c r="X1061" s="23"/>
    </row>
    <row r="1062" spans="1:24" s="1" customFormat="1" ht="26.1" customHeight="1" x14ac:dyDescent="0.3">
      <c r="A1062" s="11" t="s">
        <v>23</v>
      </c>
      <c r="B1062" s="11" t="s">
        <v>1526</v>
      </c>
      <c r="C1062" s="12" t="s">
        <v>1529</v>
      </c>
      <c r="D1062" s="53"/>
      <c r="E1062" s="39" t="str">
        <f>HYPERLINK("https://www.google.ru/search?q=3026121-003&amp;newwindow=1&amp;tbm=isch","Еще фото")</f>
        <v>Еще фото</v>
      </c>
      <c r="F1062" s="13"/>
      <c r="G1062" s="11" t="s">
        <v>808</v>
      </c>
      <c r="H1062" s="11" t="s">
        <v>593</v>
      </c>
      <c r="I1062" s="14" t="s">
        <v>809</v>
      </c>
      <c r="J1062" s="14" t="s">
        <v>29</v>
      </c>
      <c r="K1062" s="15" t="s">
        <v>30</v>
      </c>
      <c r="L1062" s="56" t="s">
        <v>1350</v>
      </c>
      <c r="M1062" s="14" t="s">
        <v>824</v>
      </c>
      <c r="N1062" s="14" t="s">
        <v>33</v>
      </c>
      <c r="O1062" s="14"/>
      <c r="P1062" s="15" t="s">
        <v>1530</v>
      </c>
      <c r="Q1062" s="16">
        <v>17999</v>
      </c>
      <c r="R1062" s="17">
        <v>40</v>
      </c>
      <c r="S1062" s="18">
        <v>12419.31</v>
      </c>
      <c r="T1062" s="19" t="s">
        <v>36</v>
      </c>
      <c r="U1062" s="20" t="s">
        <v>599</v>
      </c>
      <c r="V1062" s="28">
        <v>39.5</v>
      </c>
      <c r="W1062" s="22">
        <v>1</v>
      </c>
      <c r="X1062" s="23"/>
    </row>
    <row r="1063" spans="1:24" s="1" customFormat="1" ht="26.1" customHeight="1" x14ac:dyDescent="0.3">
      <c r="A1063" s="24" t="s">
        <v>23</v>
      </c>
      <c r="B1063" s="24" t="s">
        <v>1526</v>
      </c>
      <c r="C1063" s="12" t="s">
        <v>1529</v>
      </c>
      <c r="D1063" s="54"/>
      <c r="E1063" s="39" t="str">
        <f>HYPERLINK("https://www.google.ru/search?q=3026121-003&amp;newwindow=1&amp;tbm=isch","Еще фото")</f>
        <v>Еще фото</v>
      </c>
      <c r="F1063" s="13"/>
      <c r="G1063" s="24" t="s">
        <v>808</v>
      </c>
      <c r="H1063" s="24" t="s">
        <v>593</v>
      </c>
      <c r="I1063" s="24" t="s">
        <v>809</v>
      </c>
      <c r="J1063" s="14" t="s">
        <v>29</v>
      </c>
      <c r="K1063" s="15" t="s">
        <v>30</v>
      </c>
      <c r="L1063" s="57"/>
      <c r="M1063" s="14" t="s">
        <v>824</v>
      </c>
      <c r="N1063" s="14" t="s">
        <v>33</v>
      </c>
      <c r="O1063" s="14"/>
      <c r="P1063" s="15" t="s">
        <v>1530</v>
      </c>
      <c r="Q1063" s="16">
        <v>17999</v>
      </c>
      <c r="R1063" s="17">
        <v>40</v>
      </c>
      <c r="S1063" s="18">
        <v>12419.31</v>
      </c>
      <c r="T1063" s="19" t="s">
        <v>36</v>
      </c>
      <c r="U1063" s="20" t="s">
        <v>600</v>
      </c>
      <c r="V1063" s="22">
        <v>40</v>
      </c>
      <c r="W1063" s="22">
        <v>1</v>
      </c>
      <c r="X1063" s="23"/>
    </row>
    <row r="1064" spans="1:24" s="1" customFormat="1" ht="26.1" customHeight="1" x14ac:dyDescent="0.3">
      <c r="A1064" s="24" t="s">
        <v>23</v>
      </c>
      <c r="B1064" s="24" t="s">
        <v>1526</v>
      </c>
      <c r="C1064" s="12" t="s">
        <v>1529</v>
      </c>
      <c r="D1064" s="54"/>
      <c r="E1064" s="39" t="str">
        <f>HYPERLINK("https://www.google.ru/search?q=3026121-003&amp;newwindow=1&amp;tbm=isch","Еще фото")</f>
        <v>Еще фото</v>
      </c>
      <c r="F1064" s="13"/>
      <c r="G1064" s="24" t="s">
        <v>808</v>
      </c>
      <c r="H1064" s="24" t="s">
        <v>593</v>
      </c>
      <c r="I1064" s="24" t="s">
        <v>809</v>
      </c>
      <c r="J1064" s="14" t="s">
        <v>29</v>
      </c>
      <c r="K1064" s="15" t="s">
        <v>30</v>
      </c>
      <c r="L1064" s="57"/>
      <c r="M1064" s="14" t="s">
        <v>824</v>
      </c>
      <c r="N1064" s="14" t="s">
        <v>33</v>
      </c>
      <c r="O1064" s="14"/>
      <c r="P1064" s="15" t="s">
        <v>1530</v>
      </c>
      <c r="Q1064" s="16">
        <v>17999</v>
      </c>
      <c r="R1064" s="17">
        <v>40</v>
      </c>
      <c r="S1064" s="18">
        <v>12419.31</v>
      </c>
      <c r="T1064" s="19" t="s">
        <v>36</v>
      </c>
      <c r="U1064" s="20" t="s">
        <v>601</v>
      </c>
      <c r="V1064" s="22">
        <v>41</v>
      </c>
      <c r="W1064" s="22">
        <v>1</v>
      </c>
      <c r="X1064" s="23"/>
    </row>
    <row r="1065" spans="1:24" s="1" customFormat="1" ht="26.1" customHeight="1" x14ac:dyDescent="0.3">
      <c r="A1065" s="24" t="s">
        <v>23</v>
      </c>
      <c r="B1065" s="24" t="s">
        <v>1526</v>
      </c>
      <c r="C1065" s="12" t="s">
        <v>1529</v>
      </c>
      <c r="D1065" s="55"/>
      <c r="E1065" s="39" t="str">
        <f>HYPERLINK("https://www.google.ru/search?q=3026121-003&amp;newwindow=1&amp;tbm=isch","Еще фото")</f>
        <v>Еще фото</v>
      </c>
      <c r="F1065" s="13"/>
      <c r="G1065" s="24" t="s">
        <v>808</v>
      </c>
      <c r="H1065" s="24" t="s">
        <v>593</v>
      </c>
      <c r="I1065" s="24" t="s">
        <v>809</v>
      </c>
      <c r="J1065" s="14" t="s">
        <v>29</v>
      </c>
      <c r="K1065" s="15" t="s">
        <v>30</v>
      </c>
      <c r="L1065" s="58"/>
      <c r="M1065" s="14" t="s">
        <v>824</v>
      </c>
      <c r="N1065" s="14" t="s">
        <v>33</v>
      </c>
      <c r="O1065" s="14"/>
      <c r="P1065" s="15" t="s">
        <v>1530</v>
      </c>
      <c r="Q1065" s="16">
        <v>17999</v>
      </c>
      <c r="R1065" s="17">
        <v>40</v>
      </c>
      <c r="S1065" s="18">
        <v>12419.31</v>
      </c>
      <c r="T1065" s="19" t="s">
        <v>36</v>
      </c>
      <c r="U1065" s="20" t="s">
        <v>602</v>
      </c>
      <c r="V1065" s="28">
        <v>41.5</v>
      </c>
      <c r="W1065" s="22">
        <v>2</v>
      </c>
      <c r="X1065" s="23"/>
    </row>
    <row r="1066" spans="1:24" s="1" customFormat="1" ht="108" customHeight="1" x14ac:dyDescent="0.3">
      <c r="A1066" s="11" t="s">
        <v>23</v>
      </c>
      <c r="B1066" s="11" t="s">
        <v>1531</v>
      </c>
      <c r="C1066" s="12" t="s">
        <v>1532</v>
      </c>
      <c r="D1066" s="25"/>
      <c r="E1066" s="39" t="str">
        <f>HYPERLINK("https://www.google.ru/search?q=3026121-005&amp;newwindow=1&amp;tbm=isch","Еще фото")</f>
        <v>Еще фото</v>
      </c>
      <c r="F1066" s="13"/>
      <c r="G1066" s="11" t="s">
        <v>808</v>
      </c>
      <c r="H1066" s="11" t="s">
        <v>593</v>
      </c>
      <c r="I1066" s="14" t="s">
        <v>809</v>
      </c>
      <c r="J1066" s="14" t="s">
        <v>29</v>
      </c>
      <c r="K1066" s="15" t="s">
        <v>30</v>
      </c>
      <c r="L1066" s="14" t="s">
        <v>1350</v>
      </c>
      <c r="M1066" s="14" t="s">
        <v>824</v>
      </c>
      <c r="N1066" s="14" t="s">
        <v>1533</v>
      </c>
      <c r="O1066" s="14"/>
      <c r="P1066" s="15" t="s">
        <v>1528</v>
      </c>
      <c r="Q1066" s="16">
        <v>18999</v>
      </c>
      <c r="R1066" s="17">
        <v>40</v>
      </c>
      <c r="S1066" s="18">
        <v>13109.309999999998</v>
      </c>
      <c r="T1066" s="19" t="s">
        <v>36</v>
      </c>
      <c r="U1066" s="20" t="s">
        <v>602</v>
      </c>
      <c r="V1066" s="28">
        <v>41.5</v>
      </c>
      <c r="W1066" s="22">
        <v>1</v>
      </c>
      <c r="X1066" s="23"/>
    </row>
    <row r="1067" spans="1:24" s="1" customFormat="1" ht="51.95" customHeight="1" x14ac:dyDescent="0.3">
      <c r="A1067" s="11" t="s">
        <v>23</v>
      </c>
      <c r="B1067" s="11" t="s">
        <v>1534</v>
      </c>
      <c r="C1067" s="12" t="s">
        <v>1535</v>
      </c>
      <c r="D1067" s="59"/>
      <c r="E1067" s="39" t="str">
        <f>HYPERLINK("https://www.google.ru/search?q=3026121-300&amp;newwindow=1&amp;tbm=isch","Еще фото")</f>
        <v>Еще фото</v>
      </c>
      <c r="F1067" s="13"/>
      <c r="G1067" s="11" t="s">
        <v>808</v>
      </c>
      <c r="H1067" s="11" t="s">
        <v>593</v>
      </c>
      <c r="I1067" s="14" t="s">
        <v>809</v>
      </c>
      <c r="J1067" s="14" t="s">
        <v>29</v>
      </c>
      <c r="K1067" s="15" t="s">
        <v>30</v>
      </c>
      <c r="L1067" s="56" t="s">
        <v>1350</v>
      </c>
      <c r="M1067" s="14" t="s">
        <v>824</v>
      </c>
      <c r="N1067" s="14" t="s">
        <v>640</v>
      </c>
      <c r="O1067" s="14"/>
      <c r="P1067" s="15" t="s">
        <v>1352</v>
      </c>
      <c r="Q1067" s="16">
        <v>18999</v>
      </c>
      <c r="R1067" s="17">
        <v>40</v>
      </c>
      <c r="S1067" s="18">
        <v>13109.309999999998</v>
      </c>
      <c r="T1067" s="19" t="s">
        <v>36</v>
      </c>
      <c r="U1067" s="20" t="s">
        <v>598</v>
      </c>
      <c r="V1067" s="22">
        <v>39</v>
      </c>
      <c r="W1067" s="22">
        <v>2</v>
      </c>
      <c r="X1067" s="23"/>
    </row>
    <row r="1068" spans="1:24" s="1" customFormat="1" ht="60.95" customHeight="1" x14ac:dyDescent="0.3">
      <c r="A1068" s="24" t="s">
        <v>23</v>
      </c>
      <c r="B1068" s="24" t="s">
        <v>1534</v>
      </c>
      <c r="C1068" s="12" t="s">
        <v>1535</v>
      </c>
      <c r="D1068" s="60"/>
      <c r="E1068" s="39" t="str">
        <f>HYPERLINK("https://www.google.ru/search?q=3026121-300&amp;newwindow=1&amp;tbm=isch","Еще фото")</f>
        <v>Еще фото</v>
      </c>
      <c r="F1068" s="13"/>
      <c r="G1068" s="24" t="s">
        <v>808</v>
      </c>
      <c r="H1068" s="24" t="s">
        <v>593</v>
      </c>
      <c r="I1068" s="24" t="s">
        <v>809</v>
      </c>
      <c r="J1068" s="14" t="s">
        <v>29</v>
      </c>
      <c r="K1068" s="15" t="s">
        <v>30</v>
      </c>
      <c r="L1068" s="58"/>
      <c r="M1068" s="14" t="s">
        <v>824</v>
      </c>
      <c r="N1068" s="14" t="s">
        <v>640</v>
      </c>
      <c r="O1068" s="14"/>
      <c r="P1068" s="15" t="s">
        <v>1352</v>
      </c>
      <c r="Q1068" s="16">
        <v>18999</v>
      </c>
      <c r="R1068" s="17">
        <v>40</v>
      </c>
      <c r="S1068" s="18">
        <v>13109.309999999998</v>
      </c>
      <c r="T1068" s="19" t="s">
        <v>36</v>
      </c>
      <c r="U1068" s="20" t="s">
        <v>599</v>
      </c>
      <c r="V1068" s="28">
        <v>39.5</v>
      </c>
      <c r="W1068" s="22">
        <v>1</v>
      </c>
      <c r="X1068" s="23"/>
    </row>
    <row r="1069" spans="1:24" s="1" customFormat="1" ht="21" customHeight="1" x14ac:dyDescent="0.3">
      <c r="A1069" s="11" t="s">
        <v>23</v>
      </c>
      <c r="B1069" s="11" t="s">
        <v>1536</v>
      </c>
      <c r="C1069" s="26" t="s">
        <v>1537</v>
      </c>
      <c r="D1069" s="53"/>
      <c r="E1069" s="39" t="str">
        <f>HYPERLINK("https://www.google.ru/search?q=3026135-001&amp;newwindow=1&amp;tbm=isch","Еще фото")</f>
        <v>Еще фото</v>
      </c>
      <c r="F1069" s="13"/>
      <c r="G1069" s="11" t="s">
        <v>808</v>
      </c>
      <c r="H1069" s="11" t="s">
        <v>593</v>
      </c>
      <c r="I1069" s="14" t="s">
        <v>809</v>
      </c>
      <c r="J1069" s="14" t="s">
        <v>29</v>
      </c>
      <c r="K1069" s="15" t="s">
        <v>30</v>
      </c>
      <c r="L1069" s="56" t="s">
        <v>1538</v>
      </c>
      <c r="M1069" s="14" t="s">
        <v>811</v>
      </c>
      <c r="N1069" s="14" t="s">
        <v>33</v>
      </c>
      <c r="O1069" s="14"/>
      <c r="P1069" s="15" t="s">
        <v>1212</v>
      </c>
      <c r="Q1069" s="16">
        <v>12299</v>
      </c>
      <c r="R1069" s="17">
        <v>40</v>
      </c>
      <c r="S1069" s="18">
        <v>8486.31</v>
      </c>
      <c r="T1069" s="19" t="s">
        <v>36</v>
      </c>
      <c r="U1069" s="20" t="s">
        <v>598</v>
      </c>
      <c r="V1069" s="22">
        <v>39</v>
      </c>
      <c r="W1069" s="22">
        <v>3</v>
      </c>
      <c r="X1069" s="23"/>
    </row>
    <row r="1070" spans="1:24" s="1" customFormat="1" ht="21" customHeight="1" x14ac:dyDescent="0.3">
      <c r="A1070" s="24" t="s">
        <v>23</v>
      </c>
      <c r="B1070" s="24" t="s">
        <v>1536</v>
      </c>
      <c r="C1070" s="27" t="s">
        <v>1537</v>
      </c>
      <c r="D1070" s="54"/>
      <c r="E1070" s="39" t="str">
        <f>HYPERLINK("https://www.google.ru/search?q=3026135-001&amp;newwindow=1&amp;tbm=isch","Еще фото")</f>
        <v>Еще фото</v>
      </c>
      <c r="F1070" s="13"/>
      <c r="G1070" s="24" t="s">
        <v>808</v>
      </c>
      <c r="H1070" s="24" t="s">
        <v>593</v>
      </c>
      <c r="I1070" s="24" t="s">
        <v>809</v>
      </c>
      <c r="J1070" s="14" t="s">
        <v>29</v>
      </c>
      <c r="K1070" s="15" t="s">
        <v>30</v>
      </c>
      <c r="L1070" s="57"/>
      <c r="M1070" s="14" t="s">
        <v>811</v>
      </c>
      <c r="N1070" s="14" t="s">
        <v>33</v>
      </c>
      <c r="O1070" s="14"/>
      <c r="P1070" s="15" t="s">
        <v>1212</v>
      </c>
      <c r="Q1070" s="16">
        <v>12299</v>
      </c>
      <c r="R1070" s="17">
        <v>40</v>
      </c>
      <c r="S1070" s="18">
        <v>8486.31</v>
      </c>
      <c r="T1070" s="19" t="s">
        <v>36</v>
      </c>
      <c r="U1070" s="20" t="s">
        <v>599</v>
      </c>
      <c r="V1070" s="28">
        <v>39.5</v>
      </c>
      <c r="W1070" s="22">
        <v>13</v>
      </c>
      <c r="X1070" s="23"/>
    </row>
    <row r="1071" spans="1:24" s="1" customFormat="1" ht="21" customHeight="1" x14ac:dyDescent="0.3">
      <c r="A1071" s="24" t="s">
        <v>23</v>
      </c>
      <c r="B1071" s="24" t="s">
        <v>1536</v>
      </c>
      <c r="C1071" s="27" t="s">
        <v>1537</v>
      </c>
      <c r="D1071" s="54"/>
      <c r="E1071" s="39" t="str">
        <f>HYPERLINK("https://www.google.ru/search?q=3026135-001&amp;newwindow=1&amp;tbm=isch","Еще фото")</f>
        <v>Еще фото</v>
      </c>
      <c r="F1071" s="13"/>
      <c r="G1071" s="24" t="s">
        <v>808</v>
      </c>
      <c r="H1071" s="24" t="s">
        <v>593</v>
      </c>
      <c r="I1071" s="24" t="s">
        <v>809</v>
      </c>
      <c r="J1071" s="14" t="s">
        <v>29</v>
      </c>
      <c r="K1071" s="15" t="s">
        <v>30</v>
      </c>
      <c r="L1071" s="57"/>
      <c r="M1071" s="14" t="s">
        <v>811</v>
      </c>
      <c r="N1071" s="14" t="s">
        <v>33</v>
      </c>
      <c r="O1071" s="14"/>
      <c r="P1071" s="15" t="s">
        <v>1212</v>
      </c>
      <c r="Q1071" s="16">
        <v>12299</v>
      </c>
      <c r="R1071" s="17">
        <v>40</v>
      </c>
      <c r="S1071" s="18">
        <v>8486.31</v>
      </c>
      <c r="T1071" s="19" t="s">
        <v>36</v>
      </c>
      <c r="U1071" s="20" t="s">
        <v>600</v>
      </c>
      <c r="V1071" s="22">
        <v>40</v>
      </c>
      <c r="W1071" s="22">
        <v>4</v>
      </c>
      <c r="X1071" s="23"/>
    </row>
    <row r="1072" spans="1:24" s="1" customFormat="1" ht="21" customHeight="1" x14ac:dyDescent="0.3">
      <c r="A1072" s="24" t="s">
        <v>23</v>
      </c>
      <c r="B1072" s="24" t="s">
        <v>1536</v>
      </c>
      <c r="C1072" s="27" t="s">
        <v>1537</v>
      </c>
      <c r="D1072" s="54"/>
      <c r="E1072" s="39" t="str">
        <f>HYPERLINK("https://www.google.ru/search?q=3026135-001&amp;newwindow=1&amp;tbm=isch","Еще фото")</f>
        <v>Еще фото</v>
      </c>
      <c r="F1072" s="13"/>
      <c r="G1072" s="24" t="s">
        <v>808</v>
      </c>
      <c r="H1072" s="24" t="s">
        <v>593</v>
      </c>
      <c r="I1072" s="24" t="s">
        <v>809</v>
      </c>
      <c r="J1072" s="14" t="s">
        <v>29</v>
      </c>
      <c r="K1072" s="15" t="s">
        <v>30</v>
      </c>
      <c r="L1072" s="57"/>
      <c r="M1072" s="14" t="s">
        <v>811</v>
      </c>
      <c r="N1072" s="14" t="s">
        <v>33</v>
      </c>
      <c r="O1072" s="14"/>
      <c r="P1072" s="15" t="s">
        <v>1212</v>
      </c>
      <c r="Q1072" s="16">
        <v>12299</v>
      </c>
      <c r="R1072" s="17">
        <v>40</v>
      </c>
      <c r="S1072" s="18">
        <v>8486.31</v>
      </c>
      <c r="T1072" s="19" t="s">
        <v>36</v>
      </c>
      <c r="U1072" s="20" t="s">
        <v>602</v>
      </c>
      <c r="V1072" s="28">
        <v>41.5</v>
      </c>
      <c r="W1072" s="22">
        <v>3</v>
      </c>
      <c r="X1072" s="23"/>
    </row>
    <row r="1073" spans="1:24" s="1" customFormat="1" ht="32.1" customHeight="1" x14ac:dyDescent="0.3">
      <c r="A1073" s="24" t="s">
        <v>23</v>
      </c>
      <c r="B1073" s="24" t="s">
        <v>1536</v>
      </c>
      <c r="C1073" s="27" t="s">
        <v>1537</v>
      </c>
      <c r="D1073" s="55"/>
      <c r="E1073" s="39" t="str">
        <f>HYPERLINK("https://www.google.ru/search?q=3026135-001&amp;newwindow=1&amp;tbm=isch","Еще фото")</f>
        <v>Еще фото</v>
      </c>
      <c r="F1073" s="13"/>
      <c r="G1073" s="24" t="s">
        <v>808</v>
      </c>
      <c r="H1073" s="24" t="s">
        <v>593</v>
      </c>
      <c r="I1073" s="24" t="s">
        <v>809</v>
      </c>
      <c r="J1073" s="14" t="s">
        <v>29</v>
      </c>
      <c r="K1073" s="15" t="s">
        <v>30</v>
      </c>
      <c r="L1073" s="58"/>
      <c r="M1073" s="14" t="s">
        <v>811</v>
      </c>
      <c r="N1073" s="14" t="s">
        <v>33</v>
      </c>
      <c r="O1073" s="14"/>
      <c r="P1073" s="15" t="s">
        <v>1212</v>
      </c>
      <c r="Q1073" s="16">
        <v>12299</v>
      </c>
      <c r="R1073" s="17">
        <v>40</v>
      </c>
      <c r="S1073" s="18">
        <v>8486.31</v>
      </c>
      <c r="T1073" s="19" t="s">
        <v>36</v>
      </c>
      <c r="U1073" s="20" t="s">
        <v>607</v>
      </c>
      <c r="V1073" s="28">
        <v>44.5</v>
      </c>
      <c r="W1073" s="22">
        <v>1</v>
      </c>
      <c r="X1073" s="23"/>
    </row>
    <row r="1074" spans="1:24" s="1" customFormat="1" ht="26.1" customHeight="1" x14ac:dyDescent="0.3">
      <c r="A1074" s="11" t="s">
        <v>23</v>
      </c>
      <c r="B1074" s="11" t="s">
        <v>1536</v>
      </c>
      <c r="C1074" s="12" t="s">
        <v>1539</v>
      </c>
      <c r="D1074" s="53"/>
      <c r="E1074" s="39" t="str">
        <f>HYPERLINK("https://www.google.ru/search?q=3026135-002&amp;newwindow=1&amp;tbm=isch","Еще фото")</f>
        <v>Еще фото</v>
      </c>
      <c r="F1074" s="13"/>
      <c r="G1074" s="11" t="s">
        <v>808</v>
      </c>
      <c r="H1074" s="11" t="s">
        <v>593</v>
      </c>
      <c r="I1074" s="14" t="s">
        <v>809</v>
      </c>
      <c r="J1074" s="14" t="s">
        <v>29</v>
      </c>
      <c r="K1074" s="15" t="s">
        <v>30</v>
      </c>
      <c r="L1074" s="56" t="s">
        <v>1540</v>
      </c>
      <c r="M1074" s="14" t="s">
        <v>811</v>
      </c>
      <c r="N1074" s="14" t="s">
        <v>33</v>
      </c>
      <c r="O1074" s="14"/>
      <c r="P1074" s="15" t="s">
        <v>1541</v>
      </c>
      <c r="Q1074" s="16">
        <v>14499</v>
      </c>
      <c r="R1074" s="17">
        <v>40</v>
      </c>
      <c r="S1074" s="18">
        <v>10004.31</v>
      </c>
      <c r="T1074" s="19" t="s">
        <v>36</v>
      </c>
      <c r="U1074" s="20" t="s">
        <v>599</v>
      </c>
      <c r="V1074" s="28">
        <v>39.5</v>
      </c>
      <c r="W1074" s="22">
        <v>4</v>
      </c>
      <c r="X1074" s="23"/>
    </row>
    <row r="1075" spans="1:24" s="1" customFormat="1" ht="26.1" customHeight="1" x14ac:dyDescent="0.3">
      <c r="A1075" s="24" t="s">
        <v>23</v>
      </c>
      <c r="B1075" s="24" t="s">
        <v>1536</v>
      </c>
      <c r="C1075" s="12" t="s">
        <v>1539</v>
      </c>
      <c r="D1075" s="54"/>
      <c r="E1075" s="39" t="str">
        <f>HYPERLINK("https://www.google.ru/search?q=3026135-002&amp;newwindow=1&amp;tbm=isch","Еще фото")</f>
        <v>Еще фото</v>
      </c>
      <c r="F1075" s="13"/>
      <c r="G1075" s="24" t="s">
        <v>808</v>
      </c>
      <c r="H1075" s="24" t="s">
        <v>593</v>
      </c>
      <c r="I1075" s="24" t="s">
        <v>809</v>
      </c>
      <c r="J1075" s="14" t="s">
        <v>29</v>
      </c>
      <c r="K1075" s="15" t="s">
        <v>30</v>
      </c>
      <c r="L1075" s="57"/>
      <c r="M1075" s="14" t="s">
        <v>811</v>
      </c>
      <c r="N1075" s="14" t="s">
        <v>33</v>
      </c>
      <c r="O1075" s="14"/>
      <c r="P1075" s="15" t="s">
        <v>1541</v>
      </c>
      <c r="Q1075" s="16">
        <v>14499</v>
      </c>
      <c r="R1075" s="17">
        <v>40</v>
      </c>
      <c r="S1075" s="18">
        <v>10004.31</v>
      </c>
      <c r="T1075" s="19" t="s">
        <v>36</v>
      </c>
      <c r="U1075" s="20" t="s">
        <v>600</v>
      </c>
      <c r="V1075" s="22">
        <v>40</v>
      </c>
      <c r="W1075" s="22">
        <v>5</v>
      </c>
      <c r="X1075" s="23"/>
    </row>
    <row r="1076" spans="1:24" s="1" customFormat="1" ht="26.1" customHeight="1" x14ac:dyDescent="0.3">
      <c r="A1076" s="24" t="s">
        <v>23</v>
      </c>
      <c r="B1076" s="24" t="s">
        <v>1536</v>
      </c>
      <c r="C1076" s="12" t="s">
        <v>1539</v>
      </c>
      <c r="D1076" s="54"/>
      <c r="E1076" s="39" t="str">
        <f>HYPERLINK("https://www.google.ru/search?q=3026135-002&amp;newwindow=1&amp;tbm=isch","Еще фото")</f>
        <v>Еще фото</v>
      </c>
      <c r="F1076" s="13"/>
      <c r="G1076" s="24" t="s">
        <v>808</v>
      </c>
      <c r="H1076" s="24" t="s">
        <v>593</v>
      </c>
      <c r="I1076" s="24" t="s">
        <v>809</v>
      </c>
      <c r="J1076" s="14" t="s">
        <v>29</v>
      </c>
      <c r="K1076" s="15" t="s">
        <v>30</v>
      </c>
      <c r="L1076" s="57"/>
      <c r="M1076" s="14" t="s">
        <v>811</v>
      </c>
      <c r="N1076" s="14" t="s">
        <v>33</v>
      </c>
      <c r="O1076" s="14"/>
      <c r="P1076" s="15" t="s">
        <v>1541</v>
      </c>
      <c r="Q1076" s="16">
        <v>14499</v>
      </c>
      <c r="R1076" s="17">
        <v>40</v>
      </c>
      <c r="S1076" s="18">
        <v>10004.31</v>
      </c>
      <c r="T1076" s="19" t="s">
        <v>36</v>
      </c>
      <c r="U1076" s="20" t="s">
        <v>601</v>
      </c>
      <c r="V1076" s="22">
        <v>41</v>
      </c>
      <c r="W1076" s="22">
        <v>2</v>
      </c>
      <c r="X1076" s="23"/>
    </row>
    <row r="1077" spans="1:24" s="1" customFormat="1" ht="26.1" customHeight="1" x14ac:dyDescent="0.3">
      <c r="A1077" s="24" t="s">
        <v>23</v>
      </c>
      <c r="B1077" s="24" t="s">
        <v>1536</v>
      </c>
      <c r="C1077" s="12" t="s">
        <v>1539</v>
      </c>
      <c r="D1077" s="55"/>
      <c r="E1077" s="39" t="str">
        <f>HYPERLINK("https://www.google.ru/search?q=3026135-002&amp;newwindow=1&amp;tbm=isch","Еще фото")</f>
        <v>Еще фото</v>
      </c>
      <c r="F1077" s="13"/>
      <c r="G1077" s="24" t="s">
        <v>808</v>
      </c>
      <c r="H1077" s="24" t="s">
        <v>593</v>
      </c>
      <c r="I1077" s="24" t="s">
        <v>809</v>
      </c>
      <c r="J1077" s="14" t="s">
        <v>29</v>
      </c>
      <c r="K1077" s="15" t="s">
        <v>30</v>
      </c>
      <c r="L1077" s="58"/>
      <c r="M1077" s="14" t="s">
        <v>811</v>
      </c>
      <c r="N1077" s="14" t="s">
        <v>33</v>
      </c>
      <c r="O1077" s="14"/>
      <c r="P1077" s="15" t="s">
        <v>1541</v>
      </c>
      <c r="Q1077" s="16">
        <v>14499</v>
      </c>
      <c r="R1077" s="17">
        <v>40</v>
      </c>
      <c r="S1077" s="18">
        <v>10004.31</v>
      </c>
      <c r="T1077" s="19" t="s">
        <v>36</v>
      </c>
      <c r="U1077" s="20" t="s">
        <v>602</v>
      </c>
      <c r="V1077" s="28">
        <v>41.5</v>
      </c>
      <c r="W1077" s="22">
        <v>6</v>
      </c>
      <c r="X1077" s="23"/>
    </row>
    <row r="1078" spans="1:24" s="1" customFormat="1" ht="21" customHeight="1" x14ac:dyDescent="0.3">
      <c r="A1078" s="11" t="s">
        <v>23</v>
      </c>
      <c r="B1078" s="11" t="s">
        <v>1542</v>
      </c>
      <c r="C1078" s="26" t="s">
        <v>1543</v>
      </c>
      <c r="D1078" s="53"/>
      <c r="E1078" s="39" t="str">
        <f>HYPERLINK("https://www.google.ru/search?q=3026135-108&amp;newwindow=1&amp;tbm=isch","Еще фото")</f>
        <v>Еще фото</v>
      </c>
      <c r="F1078" s="13"/>
      <c r="G1078" s="11" t="s">
        <v>808</v>
      </c>
      <c r="H1078" s="11" t="s">
        <v>593</v>
      </c>
      <c r="I1078" s="14" t="s">
        <v>809</v>
      </c>
      <c r="J1078" s="14" t="s">
        <v>29</v>
      </c>
      <c r="K1078" s="15" t="s">
        <v>30</v>
      </c>
      <c r="L1078" s="56" t="s">
        <v>1544</v>
      </c>
      <c r="M1078" s="14" t="s">
        <v>811</v>
      </c>
      <c r="N1078" s="14" t="s">
        <v>1149</v>
      </c>
      <c r="O1078" s="14"/>
      <c r="P1078" s="15" t="s">
        <v>1545</v>
      </c>
      <c r="Q1078" s="16">
        <v>14999</v>
      </c>
      <c r="R1078" s="17">
        <v>40</v>
      </c>
      <c r="S1078" s="18">
        <v>10349.31</v>
      </c>
      <c r="T1078" s="19" t="s">
        <v>36</v>
      </c>
      <c r="U1078" s="20" t="s">
        <v>599</v>
      </c>
      <c r="V1078" s="28">
        <v>39.5</v>
      </c>
      <c r="W1078" s="22">
        <v>3</v>
      </c>
      <c r="X1078" s="23"/>
    </row>
    <row r="1079" spans="1:24" s="1" customFormat="1" ht="21" customHeight="1" x14ac:dyDescent="0.3">
      <c r="A1079" s="24" t="s">
        <v>23</v>
      </c>
      <c r="B1079" s="24" t="s">
        <v>1542</v>
      </c>
      <c r="C1079" s="27" t="s">
        <v>1543</v>
      </c>
      <c r="D1079" s="54"/>
      <c r="E1079" s="39" t="str">
        <f>HYPERLINK("https://www.google.ru/search?q=3026135-108&amp;newwindow=1&amp;tbm=isch","Еще фото")</f>
        <v>Еще фото</v>
      </c>
      <c r="F1079" s="13"/>
      <c r="G1079" s="24" t="s">
        <v>808</v>
      </c>
      <c r="H1079" s="24" t="s">
        <v>593</v>
      </c>
      <c r="I1079" s="24" t="s">
        <v>809</v>
      </c>
      <c r="J1079" s="14" t="s">
        <v>29</v>
      </c>
      <c r="K1079" s="15" t="s">
        <v>30</v>
      </c>
      <c r="L1079" s="57"/>
      <c r="M1079" s="14" t="s">
        <v>811</v>
      </c>
      <c r="N1079" s="14" t="s">
        <v>1149</v>
      </c>
      <c r="O1079" s="14"/>
      <c r="P1079" s="15" t="s">
        <v>1545</v>
      </c>
      <c r="Q1079" s="16">
        <v>14999</v>
      </c>
      <c r="R1079" s="17">
        <v>40</v>
      </c>
      <c r="S1079" s="18">
        <v>10349.31</v>
      </c>
      <c r="T1079" s="19" t="s">
        <v>36</v>
      </c>
      <c r="U1079" s="20" t="s">
        <v>600</v>
      </c>
      <c r="V1079" s="22">
        <v>40</v>
      </c>
      <c r="W1079" s="22">
        <v>4</v>
      </c>
      <c r="X1079" s="23"/>
    </row>
    <row r="1080" spans="1:24" s="1" customFormat="1" ht="21" customHeight="1" x14ac:dyDescent="0.3">
      <c r="A1080" s="24" t="s">
        <v>23</v>
      </c>
      <c r="B1080" s="24" t="s">
        <v>1542</v>
      </c>
      <c r="C1080" s="27" t="s">
        <v>1543</v>
      </c>
      <c r="D1080" s="54"/>
      <c r="E1080" s="39" t="str">
        <f>HYPERLINK("https://www.google.ru/search?q=3026135-108&amp;newwindow=1&amp;tbm=isch","Еще фото")</f>
        <v>Еще фото</v>
      </c>
      <c r="F1080" s="13"/>
      <c r="G1080" s="24" t="s">
        <v>808</v>
      </c>
      <c r="H1080" s="24" t="s">
        <v>593</v>
      </c>
      <c r="I1080" s="24" t="s">
        <v>809</v>
      </c>
      <c r="J1080" s="14" t="s">
        <v>29</v>
      </c>
      <c r="K1080" s="15" t="s">
        <v>30</v>
      </c>
      <c r="L1080" s="57"/>
      <c r="M1080" s="14" t="s">
        <v>811</v>
      </c>
      <c r="N1080" s="14" t="s">
        <v>1149</v>
      </c>
      <c r="O1080" s="14"/>
      <c r="P1080" s="15" t="s">
        <v>1545</v>
      </c>
      <c r="Q1080" s="16">
        <v>14999</v>
      </c>
      <c r="R1080" s="17">
        <v>40</v>
      </c>
      <c r="S1080" s="18">
        <v>10349.31</v>
      </c>
      <c r="T1080" s="19" t="s">
        <v>36</v>
      </c>
      <c r="U1080" s="20" t="s">
        <v>601</v>
      </c>
      <c r="V1080" s="22">
        <v>41</v>
      </c>
      <c r="W1080" s="22">
        <v>3</v>
      </c>
      <c r="X1080" s="23"/>
    </row>
    <row r="1081" spans="1:24" s="1" customFormat="1" ht="21" customHeight="1" x14ac:dyDescent="0.3">
      <c r="A1081" s="24" t="s">
        <v>23</v>
      </c>
      <c r="B1081" s="24" t="s">
        <v>1542</v>
      </c>
      <c r="C1081" s="27" t="s">
        <v>1543</v>
      </c>
      <c r="D1081" s="54"/>
      <c r="E1081" s="39" t="str">
        <f>HYPERLINK("https://www.google.ru/search?q=3026135-108&amp;newwindow=1&amp;tbm=isch","Еще фото")</f>
        <v>Еще фото</v>
      </c>
      <c r="F1081" s="13"/>
      <c r="G1081" s="24" t="s">
        <v>808</v>
      </c>
      <c r="H1081" s="24" t="s">
        <v>593</v>
      </c>
      <c r="I1081" s="24" t="s">
        <v>809</v>
      </c>
      <c r="J1081" s="14" t="s">
        <v>29</v>
      </c>
      <c r="K1081" s="15" t="s">
        <v>30</v>
      </c>
      <c r="L1081" s="57"/>
      <c r="M1081" s="14" t="s">
        <v>811</v>
      </c>
      <c r="N1081" s="14" t="s">
        <v>1149</v>
      </c>
      <c r="O1081" s="14"/>
      <c r="P1081" s="15" t="s">
        <v>1545</v>
      </c>
      <c r="Q1081" s="16">
        <v>14999</v>
      </c>
      <c r="R1081" s="17">
        <v>40</v>
      </c>
      <c r="S1081" s="18">
        <v>10349.31</v>
      </c>
      <c r="T1081" s="19" t="s">
        <v>36</v>
      </c>
      <c r="U1081" s="20" t="s">
        <v>602</v>
      </c>
      <c r="V1081" s="28">
        <v>41.5</v>
      </c>
      <c r="W1081" s="22">
        <v>2</v>
      </c>
      <c r="X1081" s="23"/>
    </row>
    <row r="1082" spans="1:24" s="1" customFormat="1" ht="32.1" customHeight="1" x14ac:dyDescent="0.3">
      <c r="A1082" s="24" t="s">
        <v>23</v>
      </c>
      <c r="B1082" s="24" t="s">
        <v>1542</v>
      </c>
      <c r="C1082" s="27" t="s">
        <v>1543</v>
      </c>
      <c r="D1082" s="55"/>
      <c r="E1082" s="39" t="str">
        <f>HYPERLINK("https://www.google.ru/search?q=3026135-108&amp;newwindow=1&amp;tbm=isch","Еще фото")</f>
        <v>Еще фото</v>
      </c>
      <c r="F1082" s="13"/>
      <c r="G1082" s="24" t="s">
        <v>808</v>
      </c>
      <c r="H1082" s="24" t="s">
        <v>593</v>
      </c>
      <c r="I1082" s="24" t="s">
        <v>809</v>
      </c>
      <c r="J1082" s="14" t="s">
        <v>29</v>
      </c>
      <c r="K1082" s="15" t="s">
        <v>30</v>
      </c>
      <c r="L1082" s="58"/>
      <c r="M1082" s="14" t="s">
        <v>811</v>
      </c>
      <c r="N1082" s="14" t="s">
        <v>1149</v>
      </c>
      <c r="O1082" s="14"/>
      <c r="P1082" s="15" t="s">
        <v>1545</v>
      </c>
      <c r="Q1082" s="16">
        <v>14999</v>
      </c>
      <c r="R1082" s="17">
        <v>40</v>
      </c>
      <c r="S1082" s="18">
        <v>10349.31</v>
      </c>
      <c r="T1082" s="19" t="s">
        <v>36</v>
      </c>
      <c r="U1082" s="20" t="s">
        <v>603</v>
      </c>
      <c r="V1082" s="22">
        <v>42</v>
      </c>
      <c r="W1082" s="22">
        <v>1</v>
      </c>
      <c r="X1082" s="23"/>
    </row>
    <row r="1083" spans="1:24" s="1" customFormat="1" ht="108" customHeight="1" x14ac:dyDescent="0.3">
      <c r="A1083" s="11" t="s">
        <v>23</v>
      </c>
      <c r="B1083" s="11" t="s">
        <v>1546</v>
      </c>
      <c r="C1083" s="12" t="s">
        <v>1547</v>
      </c>
      <c r="D1083" s="25"/>
      <c r="E1083" s="39" t="str">
        <f>HYPERLINK("https://www.google.ru/search?q=3026136-002&amp;newwindow=1&amp;tbm=isch","Еще фото")</f>
        <v>Еще фото</v>
      </c>
      <c r="F1083" s="13"/>
      <c r="G1083" s="11" t="s">
        <v>808</v>
      </c>
      <c r="H1083" s="11" t="s">
        <v>593</v>
      </c>
      <c r="I1083" s="14" t="s">
        <v>809</v>
      </c>
      <c r="J1083" s="14" t="s">
        <v>840</v>
      </c>
      <c r="K1083" s="15" t="s">
        <v>30</v>
      </c>
      <c r="L1083" s="14" t="s">
        <v>1106</v>
      </c>
      <c r="M1083" s="14" t="s">
        <v>959</v>
      </c>
      <c r="N1083" s="14" t="s">
        <v>33</v>
      </c>
      <c r="O1083" s="14"/>
      <c r="P1083" s="15" t="s">
        <v>1548</v>
      </c>
      <c r="Q1083" s="16">
        <v>15999</v>
      </c>
      <c r="R1083" s="17">
        <v>40</v>
      </c>
      <c r="S1083" s="18">
        <v>11039.31</v>
      </c>
      <c r="T1083" s="19" t="s">
        <v>36</v>
      </c>
      <c r="U1083" s="20" t="s">
        <v>599</v>
      </c>
      <c r="V1083" s="28">
        <v>39.5</v>
      </c>
      <c r="W1083" s="22">
        <v>2</v>
      </c>
      <c r="X1083" s="23"/>
    </row>
    <row r="1084" spans="1:24" s="1" customFormat="1" ht="21" customHeight="1" x14ac:dyDescent="0.3">
      <c r="A1084" s="11" t="s">
        <v>23</v>
      </c>
      <c r="B1084" s="11" t="s">
        <v>1549</v>
      </c>
      <c r="C1084" s="26" t="s">
        <v>1550</v>
      </c>
      <c r="D1084" s="53"/>
      <c r="E1084" s="39" t="str">
        <f>HYPERLINK("https://www.google.ru/search?q=3026142-301&amp;newwindow=1&amp;tbm=isch","Еще фото")</f>
        <v>Еще фото</v>
      </c>
      <c r="F1084" s="13"/>
      <c r="G1084" s="11" t="s">
        <v>808</v>
      </c>
      <c r="H1084" s="11" t="s">
        <v>593</v>
      </c>
      <c r="I1084" s="14" t="s">
        <v>809</v>
      </c>
      <c r="J1084" s="14" t="s">
        <v>29</v>
      </c>
      <c r="K1084" s="15" t="s">
        <v>64</v>
      </c>
      <c r="L1084" s="56" t="s">
        <v>1551</v>
      </c>
      <c r="M1084" s="14"/>
      <c r="N1084" s="14" t="s">
        <v>1552</v>
      </c>
      <c r="O1084" s="14"/>
      <c r="P1084" s="15" t="s">
        <v>1553</v>
      </c>
      <c r="Q1084" s="16">
        <v>10399</v>
      </c>
      <c r="R1084" s="17">
        <v>40</v>
      </c>
      <c r="S1084" s="18">
        <v>7175.3099999999986</v>
      </c>
      <c r="T1084" s="19" t="s">
        <v>36</v>
      </c>
      <c r="U1084" s="20" t="s">
        <v>863</v>
      </c>
      <c r="V1084" s="22">
        <v>35</v>
      </c>
      <c r="W1084" s="22">
        <v>2</v>
      </c>
      <c r="X1084" s="23"/>
    </row>
    <row r="1085" spans="1:24" s="1" customFormat="1" ht="21" customHeight="1" x14ac:dyDescent="0.3">
      <c r="A1085" s="24" t="s">
        <v>23</v>
      </c>
      <c r="B1085" s="24" t="s">
        <v>1549</v>
      </c>
      <c r="C1085" s="27" t="s">
        <v>1550</v>
      </c>
      <c r="D1085" s="54"/>
      <c r="E1085" s="39" t="str">
        <f>HYPERLINK("https://www.google.ru/search?q=3026142-301&amp;newwindow=1&amp;tbm=isch","Еще фото")</f>
        <v>Еще фото</v>
      </c>
      <c r="F1085" s="13"/>
      <c r="G1085" s="24" t="s">
        <v>808</v>
      </c>
      <c r="H1085" s="24" t="s">
        <v>593</v>
      </c>
      <c r="I1085" s="24" t="s">
        <v>809</v>
      </c>
      <c r="J1085" s="14" t="s">
        <v>29</v>
      </c>
      <c r="K1085" s="15" t="s">
        <v>64</v>
      </c>
      <c r="L1085" s="57"/>
      <c r="M1085" s="14"/>
      <c r="N1085" s="14" t="s">
        <v>1552</v>
      </c>
      <c r="O1085" s="14"/>
      <c r="P1085" s="15" t="s">
        <v>1553</v>
      </c>
      <c r="Q1085" s="16">
        <v>10399</v>
      </c>
      <c r="R1085" s="17">
        <v>40</v>
      </c>
      <c r="S1085" s="18">
        <v>7175.3099999999986</v>
      </c>
      <c r="T1085" s="19" t="s">
        <v>36</v>
      </c>
      <c r="U1085" s="20" t="s">
        <v>820</v>
      </c>
      <c r="V1085" s="22">
        <v>36</v>
      </c>
      <c r="W1085" s="22">
        <v>1</v>
      </c>
      <c r="X1085" s="23"/>
    </row>
    <row r="1086" spans="1:24" s="1" customFormat="1" ht="21" customHeight="1" x14ac:dyDescent="0.3">
      <c r="A1086" s="24" t="s">
        <v>23</v>
      </c>
      <c r="B1086" s="24" t="s">
        <v>1549</v>
      </c>
      <c r="C1086" s="27" t="s">
        <v>1550</v>
      </c>
      <c r="D1086" s="54"/>
      <c r="E1086" s="39" t="str">
        <f>HYPERLINK("https://www.google.ru/search?q=3026142-301&amp;newwindow=1&amp;tbm=isch","Еще фото")</f>
        <v>Еще фото</v>
      </c>
      <c r="F1086" s="13"/>
      <c r="G1086" s="24" t="s">
        <v>808</v>
      </c>
      <c r="H1086" s="24" t="s">
        <v>593</v>
      </c>
      <c r="I1086" s="24" t="s">
        <v>809</v>
      </c>
      <c r="J1086" s="14" t="s">
        <v>29</v>
      </c>
      <c r="K1086" s="15" t="s">
        <v>64</v>
      </c>
      <c r="L1086" s="57"/>
      <c r="M1086" s="14"/>
      <c r="N1086" s="14" t="s">
        <v>1552</v>
      </c>
      <c r="O1086" s="14"/>
      <c r="P1086" s="15" t="s">
        <v>1553</v>
      </c>
      <c r="Q1086" s="16">
        <v>10399</v>
      </c>
      <c r="R1086" s="17">
        <v>40</v>
      </c>
      <c r="S1086" s="18">
        <v>7175.3099999999986</v>
      </c>
      <c r="T1086" s="19" t="s">
        <v>36</v>
      </c>
      <c r="U1086" s="20" t="s">
        <v>814</v>
      </c>
      <c r="V1086" s="28">
        <v>36.5</v>
      </c>
      <c r="W1086" s="22">
        <v>1</v>
      </c>
      <c r="X1086" s="23"/>
    </row>
    <row r="1087" spans="1:24" s="1" customFormat="1" ht="21" customHeight="1" x14ac:dyDescent="0.3">
      <c r="A1087" s="24" t="s">
        <v>23</v>
      </c>
      <c r="B1087" s="24" t="s">
        <v>1549</v>
      </c>
      <c r="C1087" s="27" t="s">
        <v>1550</v>
      </c>
      <c r="D1087" s="54"/>
      <c r="E1087" s="39" t="str">
        <f>HYPERLINK("https://www.google.ru/search?q=3026142-301&amp;newwindow=1&amp;tbm=isch","Еще фото")</f>
        <v>Еще фото</v>
      </c>
      <c r="F1087" s="13"/>
      <c r="G1087" s="24" t="s">
        <v>808</v>
      </c>
      <c r="H1087" s="24" t="s">
        <v>593</v>
      </c>
      <c r="I1087" s="24" t="s">
        <v>809</v>
      </c>
      <c r="J1087" s="14" t="s">
        <v>29</v>
      </c>
      <c r="K1087" s="15" t="s">
        <v>64</v>
      </c>
      <c r="L1087" s="57"/>
      <c r="M1087" s="14"/>
      <c r="N1087" s="14" t="s">
        <v>1552</v>
      </c>
      <c r="O1087" s="14"/>
      <c r="P1087" s="15" t="s">
        <v>1553</v>
      </c>
      <c r="Q1087" s="16">
        <v>10399</v>
      </c>
      <c r="R1087" s="17">
        <v>40</v>
      </c>
      <c r="S1087" s="18">
        <v>7175.3099999999986</v>
      </c>
      <c r="T1087" s="19" t="s">
        <v>36</v>
      </c>
      <c r="U1087" s="20" t="s">
        <v>598</v>
      </c>
      <c r="V1087" s="22">
        <v>37</v>
      </c>
      <c r="W1087" s="22">
        <v>4</v>
      </c>
      <c r="X1087" s="23"/>
    </row>
    <row r="1088" spans="1:24" s="1" customFormat="1" ht="32.1" customHeight="1" x14ac:dyDescent="0.3">
      <c r="A1088" s="24" t="s">
        <v>23</v>
      </c>
      <c r="B1088" s="24" t="s">
        <v>1549</v>
      </c>
      <c r="C1088" s="27" t="s">
        <v>1550</v>
      </c>
      <c r="D1088" s="55"/>
      <c r="E1088" s="39" t="str">
        <f>HYPERLINK("https://www.google.ru/search?q=3026142-301&amp;newwindow=1&amp;tbm=isch","Еще фото")</f>
        <v>Еще фото</v>
      </c>
      <c r="F1088" s="13"/>
      <c r="G1088" s="24" t="s">
        <v>808</v>
      </c>
      <c r="H1088" s="24" t="s">
        <v>593</v>
      </c>
      <c r="I1088" s="24" t="s">
        <v>809</v>
      </c>
      <c r="J1088" s="14" t="s">
        <v>29</v>
      </c>
      <c r="K1088" s="15" t="s">
        <v>64</v>
      </c>
      <c r="L1088" s="58"/>
      <c r="M1088" s="14"/>
      <c r="N1088" s="14" t="s">
        <v>1552</v>
      </c>
      <c r="O1088" s="14"/>
      <c r="P1088" s="15" t="s">
        <v>1553</v>
      </c>
      <c r="Q1088" s="16">
        <v>10399</v>
      </c>
      <c r="R1088" s="17">
        <v>40</v>
      </c>
      <c r="S1088" s="18">
        <v>7175.3099999999986</v>
      </c>
      <c r="T1088" s="19" t="s">
        <v>36</v>
      </c>
      <c r="U1088" s="20" t="s">
        <v>599</v>
      </c>
      <c r="V1088" s="28">
        <v>37.5</v>
      </c>
      <c r="W1088" s="22">
        <v>2</v>
      </c>
      <c r="X1088" s="23"/>
    </row>
    <row r="1089" spans="1:24" s="1" customFormat="1" ht="108" customHeight="1" x14ac:dyDescent="0.3">
      <c r="A1089" s="11" t="s">
        <v>23</v>
      </c>
      <c r="B1089" s="11" t="s">
        <v>1216</v>
      </c>
      <c r="C1089" s="12" t="s">
        <v>1554</v>
      </c>
      <c r="D1089" s="25"/>
      <c r="E1089" s="39" t="str">
        <f>HYPERLINK("https://www.google.ru/search?q=3026175-001&amp;newwindow=1&amp;tbm=isch","Еще фото")</f>
        <v>Еще фото</v>
      </c>
      <c r="F1089" s="13" t="s">
        <v>98</v>
      </c>
      <c r="G1089" s="11" t="s">
        <v>808</v>
      </c>
      <c r="H1089" s="11" t="s">
        <v>593</v>
      </c>
      <c r="I1089" s="14" t="s">
        <v>809</v>
      </c>
      <c r="J1089" s="14" t="s">
        <v>29</v>
      </c>
      <c r="K1089" s="15" t="s">
        <v>30</v>
      </c>
      <c r="L1089" s="14" t="s">
        <v>1218</v>
      </c>
      <c r="M1089" s="14" t="s">
        <v>811</v>
      </c>
      <c r="N1089" s="14" t="s">
        <v>33</v>
      </c>
      <c r="O1089" s="14"/>
      <c r="P1089" s="15" t="s">
        <v>1064</v>
      </c>
      <c r="Q1089" s="16">
        <v>9899</v>
      </c>
      <c r="R1089" s="17">
        <v>40</v>
      </c>
      <c r="S1089" s="18">
        <v>6830.3099999999995</v>
      </c>
      <c r="T1089" s="19" t="s">
        <v>36</v>
      </c>
      <c r="U1089" s="20" t="s">
        <v>599</v>
      </c>
      <c r="V1089" s="28">
        <v>39.5</v>
      </c>
      <c r="W1089" s="22">
        <v>1</v>
      </c>
      <c r="X1089" s="23"/>
    </row>
    <row r="1090" spans="1:24" s="1" customFormat="1" ht="35.1" customHeight="1" x14ac:dyDescent="0.3">
      <c r="A1090" s="11" t="s">
        <v>23</v>
      </c>
      <c r="B1090" s="11" t="s">
        <v>1097</v>
      </c>
      <c r="C1090" s="12" t="s">
        <v>1555</v>
      </c>
      <c r="D1090" s="53"/>
      <c r="E1090" s="39" t="str">
        <f>HYPERLINK("https://www.google.ru/search?q=3026518-002&amp;newwindow=1&amp;tbm=isch","Еще фото")</f>
        <v>Еще фото</v>
      </c>
      <c r="F1090" s="13"/>
      <c r="G1090" s="11" t="s">
        <v>808</v>
      </c>
      <c r="H1090" s="11" t="s">
        <v>593</v>
      </c>
      <c r="I1090" s="14" t="s">
        <v>809</v>
      </c>
      <c r="J1090" s="14" t="s">
        <v>29</v>
      </c>
      <c r="K1090" s="15" t="s">
        <v>30</v>
      </c>
      <c r="L1090" s="56" t="s">
        <v>1485</v>
      </c>
      <c r="M1090" s="14" t="s">
        <v>959</v>
      </c>
      <c r="N1090" s="14" t="s">
        <v>33</v>
      </c>
      <c r="O1090" s="14"/>
      <c r="P1090" s="15" t="s">
        <v>1556</v>
      </c>
      <c r="Q1090" s="16">
        <v>10399</v>
      </c>
      <c r="R1090" s="17">
        <v>40</v>
      </c>
      <c r="S1090" s="18">
        <v>7175.3099999999986</v>
      </c>
      <c r="T1090" s="19" t="s">
        <v>36</v>
      </c>
      <c r="U1090" s="20" t="s">
        <v>603</v>
      </c>
      <c r="V1090" s="22">
        <v>42</v>
      </c>
      <c r="W1090" s="22">
        <v>3</v>
      </c>
      <c r="X1090" s="23"/>
    </row>
    <row r="1091" spans="1:24" s="1" customFormat="1" ht="35.1" customHeight="1" x14ac:dyDescent="0.3">
      <c r="A1091" s="24" t="s">
        <v>23</v>
      </c>
      <c r="B1091" s="24" t="s">
        <v>1097</v>
      </c>
      <c r="C1091" s="12" t="s">
        <v>1555</v>
      </c>
      <c r="D1091" s="54"/>
      <c r="E1091" s="39" t="str">
        <f>HYPERLINK("https://www.google.ru/search?q=3026518-002&amp;newwindow=1&amp;tbm=isch","Еще фото")</f>
        <v>Еще фото</v>
      </c>
      <c r="F1091" s="13"/>
      <c r="G1091" s="24" t="s">
        <v>808</v>
      </c>
      <c r="H1091" s="24" t="s">
        <v>593</v>
      </c>
      <c r="I1091" s="24" t="s">
        <v>809</v>
      </c>
      <c r="J1091" s="14" t="s">
        <v>29</v>
      </c>
      <c r="K1091" s="15" t="s">
        <v>30</v>
      </c>
      <c r="L1091" s="57"/>
      <c r="M1091" s="14" t="s">
        <v>959</v>
      </c>
      <c r="N1091" s="14" t="s">
        <v>33</v>
      </c>
      <c r="O1091" s="14"/>
      <c r="P1091" s="15" t="s">
        <v>1556</v>
      </c>
      <c r="Q1091" s="16">
        <v>10399</v>
      </c>
      <c r="R1091" s="17">
        <v>40</v>
      </c>
      <c r="S1091" s="18">
        <v>7175.3099999999986</v>
      </c>
      <c r="T1091" s="19" t="s">
        <v>36</v>
      </c>
      <c r="U1091" s="20" t="s">
        <v>604</v>
      </c>
      <c r="V1091" s="22">
        <v>43</v>
      </c>
      <c r="W1091" s="22">
        <v>1</v>
      </c>
      <c r="X1091" s="23"/>
    </row>
    <row r="1092" spans="1:24" s="1" customFormat="1" ht="36.950000000000003" customHeight="1" x14ac:dyDescent="0.3">
      <c r="A1092" s="24" t="s">
        <v>23</v>
      </c>
      <c r="B1092" s="24" t="s">
        <v>1097</v>
      </c>
      <c r="C1092" s="12" t="s">
        <v>1555</v>
      </c>
      <c r="D1092" s="55"/>
      <c r="E1092" s="39" t="str">
        <f>HYPERLINK("https://www.google.ru/search?q=3026518-002&amp;newwindow=1&amp;tbm=isch","Еще фото")</f>
        <v>Еще фото</v>
      </c>
      <c r="F1092" s="13"/>
      <c r="G1092" s="24" t="s">
        <v>808</v>
      </c>
      <c r="H1092" s="24" t="s">
        <v>593</v>
      </c>
      <c r="I1092" s="24" t="s">
        <v>809</v>
      </c>
      <c r="J1092" s="14" t="s">
        <v>29</v>
      </c>
      <c r="K1092" s="15" t="s">
        <v>30</v>
      </c>
      <c r="L1092" s="58"/>
      <c r="M1092" s="14" t="s">
        <v>959</v>
      </c>
      <c r="N1092" s="14" t="s">
        <v>33</v>
      </c>
      <c r="O1092" s="14"/>
      <c r="P1092" s="15" t="s">
        <v>1556</v>
      </c>
      <c r="Q1092" s="16">
        <v>10399</v>
      </c>
      <c r="R1092" s="17">
        <v>40</v>
      </c>
      <c r="S1092" s="18">
        <v>7175.3099999999986</v>
      </c>
      <c r="T1092" s="19" t="s">
        <v>36</v>
      </c>
      <c r="U1092" s="20" t="s">
        <v>605</v>
      </c>
      <c r="V1092" s="28">
        <v>43.5</v>
      </c>
      <c r="W1092" s="22">
        <v>1</v>
      </c>
      <c r="X1092" s="23"/>
    </row>
    <row r="1093" spans="1:24" s="1" customFormat="1" ht="26.1" customHeight="1" x14ac:dyDescent="0.3">
      <c r="A1093" s="11" t="s">
        <v>23</v>
      </c>
      <c r="B1093" s="11" t="s">
        <v>1097</v>
      </c>
      <c r="C1093" s="12" t="s">
        <v>1557</v>
      </c>
      <c r="D1093" s="53"/>
      <c r="E1093" s="39" t="str">
        <f>HYPERLINK("https://www.google.ru/search?q=3026518-400&amp;newwindow=1&amp;tbm=isch","Еще фото")</f>
        <v>Еще фото</v>
      </c>
      <c r="F1093" s="13"/>
      <c r="G1093" s="11" t="s">
        <v>808</v>
      </c>
      <c r="H1093" s="11" t="s">
        <v>593</v>
      </c>
      <c r="I1093" s="14" t="s">
        <v>809</v>
      </c>
      <c r="J1093" s="14" t="s">
        <v>29</v>
      </c>
      <c r="K1093" s="15" t="s">
        <v>30</v>
      </c>
      <c r="L1093" s="56" t="s">
        <v>1485</v>
      </c>
      <c r="M1093" s="14"/>
      <c r="N1093" s="14" t="s">
        <v>91</v>
      </c>
      <c r="O1093" s="14"/>
      <c r="P1093" s="15" t="s">
        <v>1558</v>
      </c>
      <c r="Q1093" s="16">
        <v>10499</v>
      </c>
      <c r="R1093" s="17">
        <v>40</v>
      </c>
      <c r="S1093" s="18">
        <v>7244.3099999999986</v>
      </c>
      <c r="T1093" s="19" t="s">
        <v>36</v>
      </c>
      <c r="U1093" s="20" t="s">
        <v>599</v>
      </c>
      <c r="V1093" s="28">
        <v>39.5</v>
      </c>
      <c r="W1093" s="22">
        <v>6</v>
      </c>
      <c r="X1093" s="23"/>
    </row>
    <row r="1094" spans="1:24" s="1" customFormat="1" ht="26.1" customHeight="1" x14ac:dyDescent="0.3">
      <c r="A1094" s="24" t="s">
        <v>23</v>
      </c>
      <c r="B1094" s="24" t="s">
        <v>1097</v>
      </c>
      <c r="C1094" s="12" t="s">
        <v>1557</v>
      </c>
      <c r="D1094" s="54"/>
      <c r="E1094" s="39" t="str">
        <f>HYPERLINK("https://www.google.ru/search?q=3026518-400&amp;newwindow=1&amp;tbm=isch","Еще фото")</f>
        <v>Еще фото</v>
      </c>
      <c r="F1094" s="13"/>
      <c r="G1094" s="24" t="s">
        <v>808</v>
      </c>
      <c r="H1094" s="24" t="s">
        <v>593</v>
      </c>
      <c r="I1094" s="24" t="s">
        <v>809</v>
      </c>
      <c r="J1094" s="14" t="s">
        <v>29</v>
      </c>
      <c r="K1094" s="15" t="s">
        <v>30</v>
      </c>
      <c r="L1094" s="57"/>
      <c r="M1094" s="14"/>
      <c r="N1094" s="14" t="s">
        <v>91</v>
      </c>
      <c r="O1094" s="14"/>
      <c r="P1094" s="15" t="s">
        <v>1558</v>
      </c>
      <c r="Q1094" s="16">
        <v>10499</v>
      </c>
      <c r="R1094" s="17">
        <v>40</v>
      </c>
      <c r="S1094" s="18">
        <v>7244.3099999999986</v>
      </c>
      <c r="T1094" s="19" t="s">
        <v>36</v>
      </c>
      <c r="U1094" s="20" t="s">
        <v>600</v>
      </c>
      <c r="V1094" s="22">
        <v>40</v>
      </c>
      <c r="W1094" s="22">
        <v>2</v>
      </c>
      <c r="X1094" s="23"/>
    </row>
    <row r="1095" spans="1:24" s="1" customFormat="1" ht="26.1" customHeight="1" x14ac:dyDescent="0.3">
      <c r="A1095" s="24" t="s">
        <v>23</v>
      </c>
      <c r="B1095" s="24" t="s">
        <v>1097</v>
      </c>
      <c r="C1095" s="12" t="s">
        <v>1557</v>
      </c>
      <c r="D1095" s="54"/>
      <c r="E1095" s="39" t="str">
        <f>HYPERLINK("https://www.google.ru/search?q=3026518-400&amp;newwindow=1&amp;tbm=isch","Еще фото")</f>
        <v>Еще фото</v>
      </c>
      <c r="F1095" s="13"/>
      <c r="G1095" s="24" t="s">
        <v>808</v>
      </c>
      <c r="H1095" s="24" t="s">
        <v>593</v>
      </c>
      <c r="I1095" s="24" t="s">
        <v>809</v>
      </c>
      <c r="J1095" s="14" t="s">
        <v>29</v>
      </c>
      <c r="K1095" s="15" t="s">
        <v>30</v>
      </c>
      <c r="L1095" s="57"/>
      <c r="M1095" s="14"/>
      <c r="N1095" s="14" t="s">
        <v>91</v>
      </c>
      <c r="O1095" s="14"/>
      <c r="P1095" s="15" t="s">
        <v>1558</v>
      </c>
      <c r="Q1095" s="16">
        <v>10499</v>
      </c>
      <c r="R1095" s="17">
        <v>40</v>
      </c>
      <c r="S1095" s="18">
        <v>7244.3099999999986</v>
      </c>
      <c r="T1095" s="19" t="s">
        <v>36</v>
      </c>
      <c r="U1095" s="20" t="s">
        <v>602</v>
      </c>
      <c r="V1095" s="28">
        <v>41.5</v>
      </c>
      <c r="W1095" s="22">
        <v>7</v>
      </c>
      <c r="X1095" s="23"/>
    </row>
    <row r="1096" spans="1:24" s="1" customFormat="1" ht="26.1" customHeight="1" x14ac:dyDescent="0.3">
      <c r="A1096" s="24" t="s">
        <v>23</v>
      </c>
      <c r="B1096" s="24" t="s">
        <v>1097</v>
      </c>
      <c r="C1096" s="12" t="s">
        <v>1557</v>
      </c>
      <c r="D1096" s="55"/>
      <c r="E1096" s="39" t="str">
        <f>HYPERLINK("https://www.google.ru/search?q=3026518-400&amp;newwindow=1&amp;tbm=isch","Еще фото")</f>
        <v>Еще фото</v>
      </c>
      <c r="F1096" s="13"/>
      <c r="G1096" s="24" t="s">
        <v>808</v>
      </c>
      <c r="H1096" s="24" t="s">
        <v>593</v>
      </c>
      <c r="I1096" s="24" t="s">
        <v>809</v>
      </c>
      <c r="J1096" s="14" t="s">
        <v>29</v>
      </c>
      <c r="K1096" s="15" t="s">
        <v>30</v>
      </c>
      <c r="L1096" s="58"/>
      <c r="M1096" s="14"/>
      <c r="N1096" s="14" t="s">
        <v>91</v>
      </c>
      <c r="O1096" s="14"/>
      <c r="P1096" s="15" t="s">
        <v>1558</v>
      </c>
      <c r="Q1096" s="16">
        <v>10499</v>
      </c>
      <c r="R1096" s="17">
        <v>40</v>
      </c>
      <c r="S1096" s="18">
        <v>7244.3099999999986</v>
      </c>
      <c r="T1096" s="19" t="s">
        <v>36</v>
      </c>
      <c r="U1096" s="20" t="s">
        <v>603</v>
      </c>
      <c r="V1096" s="22">
        <v>42</v>
      </c>
      <c r="W1096" s="22">
        <v>2</v>
      </c>
      <c r="X1096" s="23"/>
    </row>
    <row r="1097" spans="1:24" s="1" customFormat="1" ht="26.1" customHeight="1" x14ac:dyDescent="0.3">
      <c r="A1097" s="11" t="s">
        <v>23</v>
      </c>
      <c r="B1097" s="11" t="s">
        <v>1179</v>
      </c>
      <c r="C1097" s="12" t="s">
        <v>1559</v>
      </c>
      <c r="D1097" s="53"/>
      <c r="E1097" s="39" t="str">
        <f>HYPERLINK("https://www.google.ru/search?q=3026520-116&amp;newwindow=1&amp;tbm=isch","Еще фото")</f>
        <v>Еще фото</v>
      </c>
      <c r="F1097" s="13" t="s">
        <v>310</v>
      </c>
      <c r="G1097" s="11" t="s">
        <v>808</v>
      </c>
      <c r="H1097" s="11" t="s">
        <v>593</v>
      </c>
      <c r="I1097" s="14" t="s">
        <v>809</v>
      </c>
      <c r="J1097" s="14" t="s">
        <v>29</v>
      </c>
      <c r="K1097" s="15" t="s">
        <v>30</v>
      </c>
      <c r="L1097" s="56" t="s">
        <v>1181</v>
      </c>
      <c r="M1097" s="14" t="s">
        <v>824</v>
      </c>
      <c r="N1097" s="14" t="s">
        <v>74</v>
      </c>
      <c r="O1097" s="14"/>
      <c r="P1097" s="15" t="s">
        <v>1560</v>
      </c>
      <c r="Q1097" s="16">
        <v>13699</v>
      </c>
      <c r="R1097" s="17">
        <v>40</v>
      </c>
      <c r="S1097" s="18">
        <v>9452.31</v>
      </c>
      <c r="T1097" s="19" t="s">
        <v>36</v>
      </c>
      <c r="U1097" s="20" t="s">
        <v>599</v>
      </c>
      <c r="V1097" s="28">
        <v>39.5</v>
      </c>
      <c r="W1097" s="22">
        <v>1</v>
      </c>
      <c r="X1097" s="23"/>
    </row>
    <row r="1098" spans="1:24" s="1" customFormat="1" ht="26.1" customHeight="1" x14ac:dyDescent="0.3">
      <c r="A1098" s="24" t="s">
        <v>23</v>
      </c>
      <c r="B1098" s="24" t="s">
        <v>1179</v>
      </c>
      <c r="C1098" s="12" t="s">
        <v>1559</v>
      </c>
      <c r="D1098" s="54"/>
      <c r="E1098" s="39" t="str">
        <f>HYPERLINK("https://www.google.ru/search?q=3026520-116&amp;newwindow=1&amp;tbm=isch","Еще фото")</f>
        <v>Еще фото</v>
      </c>
      <c r="F1098" s="13" t="s">
        <v>310</v>
      </c>
      <c r="G1098" s="24" t="s">
        <v>808</v>
      </c>
      <c r="H1098" s="24" t="s">
        <v>593</v>
      </c>
      <c r="I1098" s="24" t="s">
        <v>809</v>
      </c>
      <c r="J1098" s="14" t="s">
        <v>29</v>
      </c>
      <c r="K1098" s="15" t="s">
        <v>30</v>
      </c>
      <c r="L1098" s="57"/>
      <c r="M1098" s="14" t="s">
        <v>824</v>
      </c>
      <c r="N1098" s="14" t="s">
        <v>74</v>
      </c>
      <c r="O1098" s="14"/>
      <c r="P1098" s="15" t="s">
        <v>1560</v>
      </c>
      <c r="Q1098" s="16">
        <v>13699</v>
      </c>
      <c r="R1098" s="17">
        <v>40</v>
      </c>
      <c r="S1098" s="18">
        <v>9452.31</v>
      </c>
      <c r="T1098" s="19" t="s">
        <v>36</v>
      </c>
      <c r="U1098" s="20" t="s">
        <v>601</v>
      </c>
      <c r="V1098" s="22">
        <v>41</v>
      </c>
      <c r="W1098" s="22">
        <v>1</v>
      </c>
      <c r="X1098" s="23"/>
    </row>
    <row r="1099" spans="1:24" s="1" customFormat="1" ht="26.1" customHeight="1" x14ac:dyDescent="0.3">
      <c r="A1099" s="24" t="s">
        <v>23</v>
      </c>
      <c r="B1099" s="24" t="s">
        <v>1179</v>
      </c>
      <c r="C1099" s="12" t="s">
        <v>1559</v>
      </c>
      <c r="D1099" s="54"/>
      <c r="E1099" s="39" t="str">
        <f>HYPERLINK("https://www.google.ru/search?q=3026520-116&amp;newwindow=1&amp;tbm=isch","Еще фото")</f>
        <v>Еще фото</v>
      </c>
      <c r="F1099" s="13" t="s">
        <v>310</v>
      </c>
      <c r="G1099" s="24" t="s">
        <v>808</v>
      </c>
      <c r="H1099" s="24" t="s">
        <v>593</v>
      </c>
      <c r="I1099" s="24" t="s">
        <v>809</v>
      </c>
      <c r="J1099" s="14" t="s">
        <v>29</v>
      </c>
      <c r="K1099" s="15" t="s">
        <v>30</v>
      </c>
      <c r="L1099" s="57"/>
      <c r="M1099" s="14" t="s">
        <v>824</v>
      </c>
      <c r="N1099" s="14" t="s">
        <v>74</v>
      </c>
      <c r="O1099" s="14"/>
      <c r="P1099" s="15" t="s">
        <v>1560</v>
      </c>
      <c r="Q1099" s="16">
        <v>13699</v>
      </c>
      <c r="R1099" s="17">
        <v>40</v>
      </c>
      <c r="S1099" s="18">
        <v>9452.31</v>
      </c>
      <c r="T1099" s="19" t="s">
        <v>36</v>
      </c>
      <c r="U1099" s="20" t="s">
        <v>602</v>
      </c>
      <c r="V1099" s="28">
        <v>41.5</v>
      </c>
      <c r="W1099" s="22">
        <v>5</v>
      </c>
      <c r="X1099" s="23"/>
    </row>
    <row r="1100" spans="1:24" s="1" customFormat="1" ht="26.1" customHeight="1" x14ac:dyDescent="0.3">
      <c r="A1100" s="24" t="s">
        <v>23</v>
      </c>
      <c r="B1100" s="24" t="s">
        <v>1179</v>
      </c>
      <c r="C1100" s="12" t="s">
        <v>1559</v>
      </c>
      <c r="D1100" s="55"/>
      <c r="E1100" s="39" t="str">
        <f>HYPERLINK("https://www.google.ru/search?q=3026520-116&amp;newwindow=1&amp;tbm=isch","Еще фото")</f>
        <v>Еще фото</v>
      </c>
      <c r="F1100" s="13" t="s">
        <v>310</v>
      </c>
      <c r="G1100" s="24" t="s">
        <v>808</v>
      </c>
      <c r="H1100" s="24" t="s">
        <v>593</v>
      </c>
      <c r="I1100" s="24" t="s">
        <v>809</v>
      </c>
      <c r="J1100" s="14" t="s">
        <v>29</v>
      </c>
      <c r="K1100" s="15" t="s">
        <v>30</v>
      </c>
      <c r="L1100" s="58"/>
      <c r="M1100" s="14" t="s">
        <v>824</v>
      </c>
      <c r="N1100" s="14" t="s">
        <v>74</v>
      </c>
      <c r="O1100" s="14"/>
      <c r="P1100" s="15" t="s">
        <v>1560</v>
      </c>
      <c r="Q1100" s="16">
        <v>13699</v>
      </c>
      <c r="R1100" s="17">
        <v>40</v>
      </c>
      <c r="S1100" s="18">
        <v>9452.31</v>
      </c>
      <c r="T1100" s="19" t="s">
        <v>36</v>
      </c>
      <c r="U1100" s="20" t="s">
        <v>604</v>
      </c>
      <c r="V1100" s="22">
        <v>43</v>
      </c>
      <c r="W1100" s="22">
        <v>7</v>
      </c>
      <c r="X1100" s="23"/>
    </row>
    <row r="1101" spans="1:24" s="1" customFormat="1" ht="108" customHeight="1" x14ac:dyDescent="0.3">
      <c r="A1101" s="11" t="s">
        <v>23</v>
      </c>
      <c r="B1101" s="11" t="s">
        <v>1179</v>
      </c>
      <c r="C1101" s="12" t="s">
        <v>1561</v>
      </c>
      <c r="D1101" s="25"/>
      <c r="E1101" s="39" t="str">
        <f>HYPERLINK("https://www.google.ru/search?q=3026520-600&amp;newwindow=1&amp;tbm=isch","Еще фото")</f>
        <v>Еще фото</v>
      </c>
      <c r="F1101" s="13"/>
      <c r="G1101" s="11" t="s">
        <v>808</v>
      </c>
      <c r="H1101" s="11" t="s">
        <v>593</v>
      </c>
      <c r="I1101" s="14" t="s">
        <v>809</v>
      </c>
      <c r="J1101" s="14" t="s">
        <v>29</v>
      </c>
      <c r="K1101" s="15" t="s">
        <v>30</v>
      </c>
      <c r="L1101" s="14" t="s">
        <v>1181</v>
      </c>
      <c r="M1101" s="14" t="s">
        <v>824</v>
      </c>
      <c r="N1101" s="14" t="s">
        <v>1013</v>
      </c>
      <c r="O1101" s="14"/>
      <c r="P1101" s="15" t="s">
        <v>1182</v>
      </c>
      <c r="Q1101" s="16">
        <v>13499</v>
      </c>
      <c r="R1101" s="17">
        <v>40</v>
      </c>
      <c r="S1101" s="18">
        <v>9314.31</v>
      </c>
      <c r="T1101" s="19" t="s">
        <v>36</v>
      </c>
      <c r="U1101" s="20" t="s">
        <v>598</v>
      </c>
      <c r="V1101" s="22">
        <v>39</v>
      </c>
      <c r="W1101" s="22">
        <v>1</v>
      </c>
      <c r="X1101" s="23"/>
    </row>
    <row r="1102" spans="1:24" s="1" customFormat="1" ht="21" customHeight="1" x14ac:dyDescent="0.3">
      <c r="A1102" s="11" t="s">
        <v>23</v>
      </c>
      <c r="B1102" s="11" t="s">
        <v>864</v>
      </c>
      <c r="C1102" s="26" t="s">
        <v>1562</v>
      </c>
      <c r="D1102" s="53"/>
      <c r="E1102" s="39" t="str">
        <f>HYPERLINK("https://www.google.ru/search?q=3026525-101&amp;newwindow=1&amp;tbm=isch","Еще фото")</f>
        <v>Еще фото</v>
      </c>
      <c r="F1102" s="13" t="s">
        <v>310</v>
      </c>
      <c r="G1102" s="11" t="s">
        <v>808</v>
      </c>
      <c r="H1102" s="11" t="s">
        <v>593</v>
      </c>
      <c r="I1102" s="14" t="s">
        <v>809</v>
      </c>
      <c r="J1102" s="14" t="s">
        <v>29</v>
      </c>
      <c r="K1102" s="15" t="s">
        <v>64</v>
      </c>
      <c r="L1102" s="56" t="s">
        <v>866</v>
      </c>
      <c r="M1102" s="14" t="s">
        <v>824</v>
      </c>
      <c r="N1102" s="14" t="s">
        <v>74</v>
      </c>
      <c r="O1102" s="14"/>
      <c r="P1102" s="15" t="s">
        <v>597</v>
      </c>
      <c r="Q1102" s="16">
        <v>13499</v>
      </c>
      <c r="R1102" s="17">
        <v>40</v>
      </c>
      <c r="S1102" s="18">
        <v>9314.31</v>
      </c>
      <c r="T1102" s="19" t="s">
        <v>36</v>
      </c>
      <c r="U1102" s="20" t="s">
        <v>813</v>
      </c>
      <c r="V1102" s="28">
        <v>35.5</v>
      </c>
      <c r="W1102" s="22">
        <v>4</v>
      </c>
      <c r="X1102" s="23"/>
    </row>
    <row r="1103" spans="1:24" s="1" customFormat="1" ht="21" customHeight="1" x14ac:dyDescent="0.3">
      <c r="A1103" s="24" t="s">
        <v>23</v>
      </c>
      <c r="B1103" s="24" t="s">
        <v>864</v>
      </c>
      <c r="C1103" s="27" t="s">
        <v>1562</v>
      </c>
      <c r="D1103" s="54"/>
      <c r="E1103" s="39" t="str">
        <f>HYPERLINK("https://www.google.ru/search?q=3026525-101&amp;newwindow=1&amp;tbm=isch","Еще фото")</f>
        <v>Еще фото</v>
      </c>
      <c r="F1103" s="13" t="s">
        <v>310</v>
      </c>
      <c r="G1103" s="24" t="s">
        <v>808</v>
      </c>
      <c r="H1103" s="24" t="s">
        <v>593</v>
      </c>
      <c r="I1103" s="24" t="s">
        <v>809</v>
      </c>
      <c r="J1103" s="14" t="s">
        <v>29</v>
      </c>
      <c r="K1103" s="15" t="s">
        <v>64</v>
      </c>
      <c r="L1103" s="57"/>
      <c r="M1103" s="14" t="s">
        <v>824</v>
      </c>
      <c r="N1103" s="14" t="s">
        <v>74</v>
      </c>
      <c r="O1103" s="14"/>
      <c r="P1103" s="15" t="s">
        <v>597</v>
      </c>
      <c r="Q1103" s="16">
        <v>13499</v>
      </c>
      <c r="R1103" s="17">
        <v>40</v>
      </c>
      <c r="S1103" s="18">
        <v>9314.31</v>
      </c>
      <c r="T1103" s="19" t="s">
        <v>36</v>
      </c>
      <c r="U1103" s="20" t="s">
        <v>820</v>
      </c>
      <c r="V1103" s="22">
        <v>36</v>
      </c>
      <c r="W1103" s="22">
        <v>2</v>
      </c>
      <c r="X1103" s="23"/>
    </row>
    <row r="1104" spans="1:24" s="1" customFormat="1" ht="21" customHeight="1" x14ac:dyDescent="0.3">
      <c r="A1104" s="24" t="s">
        <v>23</v>
      </c>
      <c r="B1104" s="24" t="s">
        <v>864</v>
      </c>
      <c r="C1104" s="27" t="s">
        <v>1562</v>
      </c>
      <c r="D1104" s="54"/>
      <c r="E1104" s="39" t="str">
        <f>HYPERLINK("https://www.google.ru/search?q=3026525-101&amp;newwindow=1&amp;tbm=isch","Еще фото")</f>
        <v>Еще фото</v>
      </c>
      <c r="F1104" s="13" t="s">
        <v>310</v>
      </c>
      <c r="G1104" s="24" t="s">
        <v>808</v>
      </c>
      <c r="H1104" s="24" t="s">
        <v>593</v>
      </c>
      <c r="I1104" s="24" t="s">
        <v>809</v>
      </c>
      <c r="J1104" s="14" t="s">
        <v>29</v>
      </c>
      <c r="K1104" s="15" t="s">
        <v>64</v>
      </c>
      <c r="L1104" s="57"/>
      <c r="M1104" s="14" t="s">
        <v>824</v>
      </c>
      <c r="N1104" s="14" t="s">
        <v>74</v>
      </c>
      <c r="O1104" s="14"/>
      <c r="P1104" s="15" t="s">
        <v>597</v>
      </c>
      <c r="Q1104" s="16">
        <v>13499</v>
      </c>
      <c r="R1104" s="17">
        <v>40</v>
      </c>
      <c r="S1104" s="18">
        <v>9314.31</v>
      </c>
      <c r="T1104" s="19" t="s">
        <v>36</v>
      </c>
      <c r="U1104" s="20" t="s">
        <v>814</v>
      </c>
      <c r="V1104" s="28">
        <v>36.5</v>
      </c>
      <c r="W1104" s="22">
        <v>1</v>
      </c>
      <c r="X1104" s="23"/>
    </row>
    <row r="1105" spans="1:24" s="1" customFormat="1" ht="21" customHeight="1" x14ac:dyDescent="0.3">
      <c r="A1105" s="24" t="s">
        <v>23</v>
      </c>
      <c r="B1105" s="24" t="s">
        <v>864</v>
      </c>
      <c r="C1105" s="27" t="s">
        <v>1562</v>
      </c>
      <c r="D1105" s="54"/>
      <c r="E1105" s="39" t="str">
        <f>HYPERLINK("https://www.google.ru/search?q=3026525-101&amp;newwindow=1&amp;tbm=isch","Еще фото")</f>
        <v>Еще фото</v>
      </c>
      <c r="F1105" s="13" t="s">
        <v>310</v>
      </c>
      <c r="G1105" s="24" t="s">
        <v>808</v>
      </c>
      <c r="H1105" s="24" t="s">
        <v>593</v>
      </c>
      <c r="I1105" s="24" t="s">
        <v>809</v>
      </c>
      <c r="J1105" s="14" t="s">
        <v>29</v>
      </c>
      <c r="K1105" s="15" t="s">
        <v>64</v>
      </c>
      <c r="L1105" s="57"/>
      <c r="M1105" s="14" t="s">
        <v>824</v>
      </c>
      <c r="N1105" s="14" t="s">
        <v>74</v>
      </c>
      <c r="O1105" s="14"/>
      <c r="P1105" s="15" t="s">
        <v>597</v>
      </c>
      <c r="Q1105" s="16">
        <v>13499</v>
      </c>
      <c r="R1105" s="17">
        <v>40</v>
      </c>
      <c r="S1105" s="18">
        <v>9314.31</v>
      </c>
      <c r="T1105" s="19" t="s">
        <v>36</v>
      </c>
      <c r="U1105" s="20" t="s">
        <v>598</v>
      </c>
      <c r="V1105" s="22">
        <v>37</v>
      </c>
      <c r="W1105" s="22">
        <v>12</v>
      </c>
      <c r="X1105" s="23"/>
    </row>
    <row r="1106" spans="1:24" s="1" customFormat="1" ht="32.1" customHeight="1" x14ac:dyDescent="0.3">
      <c r="A1106" s="24" t="s">
        <v>23</v>
      </c>
      <c r="B1106" s="24" t="s">
        <v>864</v>
      </c>
      <c r="C1106" s="27" t="s">
        <v>1562</v>
      </c>
      <c r="D1106" s="55"/>
      <c r="E1106" s="39" t="str">
        <f>HYPERLINK("https://www.google.ru/search?q=3026525-101&amp;newwindow=1&amp;tbm=isch","Еще фото")</f>
        <v>Еще фото</v>
      </c>
      <c r="F1106" s="13" t="s">
        <v>310</v>
      </c>
      <c r="G1106" s="24" t="s">
        <v>808</v>
      </c>
      <c r="H1106" s="24" t="s">
        <v>593</v>
      </c>
      <c r="I1106" s="24" t="s">
        <v>809</v>
      </c>
      <c r="J1106" s="14" t="s">
        <v>29</v>
      </c>
      <c r="K1106" s="15" t="s">
        <v>64</v>
      </c>
      <c r="L1106" s="58"/>
      <c r="M1106" s="14" t="s">
        <v>824</v>
      </c>
      <c r="N1106" s="14" t="s">
        <v>74</v>
      </c>
      <c r="O1106" s="14"/>
      <c r="P1106" s="15" t="s">
        <v>597</v>
      </c>
      <c r="Q1106" s="16">
        <v>13499</v>
      </c>
      <c r="R1106" s="17">
        <v>40</v>
      </c>
      <c r="S1106" s="18">
        <v>9314.31</v>
      </c>
      <c r="T1106" s="19" t="s">
        <v>36</v>
      </c>
      <c r="U1106" s="20" t="s">
        <v>599</v>
      </c>
      <c r="V1106" s="28">
        <v>37.5</v>
      </c>
      <c r="W1106" s="22">
        <v>6</v>
      </c>
      <c r="X1106" s="23"/>
    </row>
    <row r="1107" spans="1:24" s="1" customFormat="1" ht="35.1" customHeight="1" x14ac:dyDescent="0.3">
      <c r="A1107" s="11" t="s">
        <v>23</v>
      </c>
      <c r="B1107" s="11" t="s">
        <v>864</v>
      </c>
      <c r="C1107" s="12" t="s">
        <v>1563</v>
      </c>
      <c r="D1107" s="53"/>
      <c r="E1107" s="39" t="str">
        <f>HYPERLINK("https://www.google.ru/search?q=3026525-695&amp;newwindow=1&amp;tbm=isch","Еще фото")</f>
        <v>Еще фото</v>
      </c>
      <c r="F1107" s="13" t="s">
        <v>310</v>
      </c>
      <c r="G1107" s="11" t="s">
        <v>808</v>
      </c>
      <c r="H1107" s="11" t="s">
        <v>593</v>
      </c>
      <c r="I1107" s="14" t="s">
        <v>809</v>
      </c>
      <c r="J1107" s="14" t="s">
        <v>29</v>
      </c>
      <c r="K1107" s="15" t="s">
        <v>64</v>
      </c>
      <c r="L1107" s="56" t="s">
        <v>1564</v>
      </c>
      <c r="M1107" s="14" t="s">
        <v>824</v>
      </c>
      <c r="N1107" s="14" t="s">
        <v>57</v>
      </c>
      <c r="O1107" s="14"/>
      <c r="P1107" s="15" t="s">
        <v>1560</v>
      </c>
      <c r="Q1107" s="16">
        <v>13299</v>
      </c>
      <c r="R1107" s="17">
        <v>40</v>
      </c>
      <c r="S1107" s="18">
        <v>9176.31</v>
      </c>
      <c r="T1107" s="19" t="s">
        <v>36</v>
      </c>
      <c r="U1107" s="20" t="s">
        <v>814</v>
      </c>
      <c r="V1107" s="28">
        <v>36.5</v>
      </c>
      <c r="W1107" s="22">
        <v>1</v>
      </c>
      <c r="X1107" s="23"/>
    </row>
    <row r="1108" spans="1:24" s="1" customFormat="1" ht="35.1" customHeight="1" x14ac:dyDescent="0.3">
      <c r="A1108" s="24" t="s">
        <v>23</v>
      </c>
      <c r="B1108" s="24" t="s">
        <v>864</v>
      </c>
      <c r="C1108" s="12" t="s">
        <v>1563</v>
      </c>
      <c r="D1108" s="54"/>
      <c r="E1108" s="39" t="str">
        <f>HYPERLINK("https://www.google.ru/search?q=3026525-695&amp;newwindow=1&amp;tbm=isch","Еще фото")</f>
        <v>Еще фото</v>
      </c>
      <c r="F1108" s="13" t="s">
        <v>310</v>
      </c>
      <c r="G1108" s="24" t="s">
        <v>808</v>
      </c>
      <c r="H1108" s="24" t="s">
        <v>593</v>
      </c>
      <c r="I1108" s="24" t="s">
        <v>809</v>
      </c>
      <c r="J1108" s="14" t="s">
        <v>29</v>
      </c>
      <c r="K1108" s="15" t="s">
        <v>64</v>
      </c>
      <c r="L1108" s="57"/>
      <c r="M1108" s="14" t="s">
        <v>824</v>
      </c>
      <c r="N1108" s="14" t="s">
        <v>57</v>
      </c>
      <c r="O1108" s="14"/>
      <c r="P1108" s="15" t="s">
        <v>1560</v>
      </c>
      <c r="Q1108" s="16">
        <v>13299</v>
      </c>
      <c r="R1108" s="17">
        <v>40</v>
      </c>
      <c r="S1108" s="18">
        <v>9176.31</v>
      </c>
      <c r="T1108" s="19" t="s">
        <v>36</v>
      </c>
      <c r="U1108" s="20" t="s">
        <v>599</v>
      </c>
      <c r="V1108" s="28">
        <v>37.5</v>
      </c>
      <c r="W1108" s="22">
        <v>1</v>
      </c>
      <c r="X1108" s="23"/>
    </row>
    <row r="1109" spans="1:24" s="1" customFormat="1" ht="36.950000000000003" customHeight="1" x14ac:dyDescent="0.3">
      <c r="A1109" s="24" t="s">
        <v>23</v>
      </c>
      <c r="B1109" s="24" t="s">
        <v>864</v>
      </c>
      <c r="C1109" s="12" t="s">
        <v>1563</v>
      </c>
      <c r="D1109" s="55"/>
      <c r="E1109" s="39" t="str">
        <f>HYPERLINK("https://www.google.ru/search?q=3026525-695&amp;newwindow=1&amp;tbm=isch","Еще фото")</f>
        <v>Еще фото</v>
      </c>
      <c r="F1109" s="13" t="s">
        <v>310</v>
      </c>
      <c r="G1109" s="24" t="s">
        <v>808</v>
      </c>
      <c r="H1109" s="24" t="s">
        <v>593</v>
      </c>
      <c r="I1109" s="24" t="s">
        <v>809</v>
      </c>
      <c r="J1109" s="14" t="s">
        <v>29</v>
      </c>
      <c r="K1109" s="15" t="s">
        <v>64</v>
      </c>
      <c r="L1109" s="58"/>
      <c r="M1109" s="14" t="s">
        <v>824</v>
      </c>
      <c r="N1109" s="14" t="s">
        <v>57</v>
      </c>
      <c r="O1109" s="14"/>
      <c r="P1109" s="15" t="s">
        <v>1560</v>
      </c>
      <c r="Q1109" s="16">
        <v>13299</v>
      </c>
      <c r="R1109" s="17">
        <v>40</v>
      </c>
      <c r="S1109" s="18">
        <v>9176.31</v>
      </c>
      <c r="T1109" s="19" t="s">
        <v>36</v>
      </c>
      <c r="U1109" s="20" t="s">
        <v>600</v>
      </c>
      <c r="V1109" s="22">
        <v>38</v>
      </c>
      <c r="W1109" s="22">
        <v>1</v>
      </c>
      <c r="X1109" s="23"/>
    </row>
    <row r="1110" spans="1:24" s="1" customFormat="1" ht="108" customHeight="1" x14ac:dyDescent="0.3">
      <c r="A1110" s="11" t="s">
        <v>23</v>
      </c>
      <c r="B1110" s="11" t="s">
        <v>1565</v>
      </c>
      <c r="C1110" s="12" t="s">
        <v>1566</v>
      </c>
      <c r="D1110" s="25"/>
      <c r="E1110" s="39" t="str">
        <f>HYPERLINK("https://www.google.ru/search?q=3026534-100&amp;newwindow=1&amp;tbm=isch","Еще фото")</f>
        <v>Еще фото</v>
      </c>
      <c r="F1110" s="13"/>
      <c r="G1110" s="11" t="s">
        <v>808</v>
      </c>
      <c r="H1110" s="11" t="s">
        <v>593</v>
      </c>
      <c r="I1110" s="14" t="s">
        <v>809</v>
      </c>
      <c r="J1110" s="14" t="s">
        <v>29</v>
      </c>
      <c r="K1110" s="15" t="s">
        <v>30</v>
      </c>
      <c r="L1110" s="14" t="s">
        <v>1567</v>
      </c>
      <c r="M1110" s="14" t="s">
        <v>1568</v>
      </c>
      <c r="N1110" s="14" t="s">
        <v>74</v>
      </c>
      <c r="O1110" s="14"/>
      <c r="P1110" s="15" t="s">
        <v>1569</v>
      </c>
      <c r="Q1110" s="16">
        <v>26099</v>
      </c>
      <c r="R1110" s="17">
        <v>40</v>
      </c>
      <c r="S1110" s="18">
        <v>18008.309999999998</v>
      </c>
      <c r="T1110" s="19" t="s">
        <v>36</v>
      </c>
      <c r="U1110" s="20" t="s">
        <v>602</v>
      </c>
      <c r="V1110" s="28">
        <v>41.5</v>
      </c>
      <c r="W1110" s="22">
        <v>2</v>
      </c>
      <c r="X1110" s="23"/>
    </row>
    <row r="1111" spans="1:24" s="1" customFormat="1" ht="51.95" customHeight="1" x14ac:dyDescent="0.3">
      <c r="A1111" s="11" t="s">
        <v>23</v>
      </c>
      <c r="B1111" s="11" t="s">
        <v>1570</v>
      </c>
      <c r="C1111" s="12" t="s">
        <v>1571</v>
      </c>
      <c r="D1111" s="59"/>
      <c r="E1111" s="39" t="str">
        <f>HYPERLINK("https://www.google.ru/search?q=3026545-002&amp;newwindow=1&amp;tbm=isch","Еще фото")</f>
        <v>Еще фото</v>
      </c>
      <c r="F1111" s="13"/>
      <c r="G1111" s="11" t="s">
        <v>808</v>
      </c>
      <c r="H1111" s="11" t="s">
        <v>593</v>
      </c>
      <c r="I1111" s="14" t="s">
        <v>809</v>
      </c>
      <c r="J1111" s="14" t="s">
        <v>29</v>
      </c>
      <c r="K1111" s="15" t="s">
        <v>30</v>
      </c>
      <c r="L1111" s="56" t="s">
        <v>1572</v>
      </c>
      <c r="M1111" s="14" t="s">
        <v>824</v>
      </c>
      <c r="N1111" s="14" t="s">
        <v>33</v>
      </c>
      <c r="O1111" s="14"/>
      <c r="P1111" s="15" t="s">
        <v>1573</v>
      </c>
      <c r="Q1111" s="16">
        <v>20999</v>
      </c>
      <c r="R1111" s="17">
        <v>40</v>
      </c>
      <c r="S1111" s="18">
        <v>14489.309999999998</v>
      </c>
      <c r="T1111" s="19" t="s">
        <v>36</v>
      </c>
      <c r="U1111" s="20" t="s">
        <v>601</v>
      </c>
      <c r="V1111" s="22">
        <v>41</v>
      </c>
      <c r="W1111" s="22">
        <v>1</v>
      </c>
      <c r="X1111" s="23"/>
    </row>
    <row r="1112" spans="1:24" s="1" customFormat="1" ht="60.95" customHeight="1" x14ac:dyDescent="0.3">
      <c r="A1112" s="24" t="s">
        <v>23</v>
      </c>
      <c r="B1112" s="24" t="s">
        <v>1570</v>
      </c>
      <c r="C1112" s="12" t="s">
        <v>1571</v>
      </c>
      <c r="D1112" s="60"/>
      <c r="E1112" s="39" t="str">
        <f>HYPERLINK("https://www.google.ru/search?q=3026545-002&amp;newwindow=1&amp;tbm=isch","Еще фото")</f>
        <v>Еще фото</v>
      </c>
      <c r="F1112" s="13"/>
      <c r="G1112" s="24" t="s">
        <v>808</v>
      </c>
      <c r="H1112" s="24" t="s">
        <v>593</v>
      </c>
      <c r="I1112" s="24" t="s">
        <v>809</v>
      </c>
      <c r="J1112" s="14" t="s">
        <v>29</v>
      </c>
      <c r="K1112" s="15" t="s">
        <v>30</v>
      </c>
      <c r="L1112" s="58"/>
      <c r="M1112" s="14" t="s">
        <v>824</v>
      </c>
      <c r="N1112" s="14" t="s">
        <v>33</v>
      </c>
      <c r="O1112" s="14"/>
      <c r="P1112" s="15" t="s">
        <v>1573</v>
      </c>
      <c r="Q1112" s="16">
        <v>20999</v>
      </c>
      <c r="R1112" s="17">
        <v>40</v>
      </c>
      <c r="S1112" s="18">
        <v>14489.309999999998</v>
      </c>
      <c r="T1112" s="19" t="s">
        <v>36</v>
      </c>
      <c r="U1112" s="20" t="s">
        <v>602</v>
      </c>
      <c r="V1112" s="28">
        <v>41.5</v>
      </c>
      <c r="W1112" s="22">
        <v>2</v>
      </c>
      <c r="X1112" s="23"/>
    </row>
    <row r="1113" spans="1:24" s="1" customFormat="1" ht="108" customHeight="1" x14ac:dyDescent="0.3">
      <c r="A1113" s="11" t="s">
        <v>23</v>
      </c>
      <c r="B1113" s="11" t="s">
        <v>1383</v>
      </c>
      <c r="C1113" s="12" t="s">
        <v>1574</v>
      </c>
      <c r="D1113" s="25"/>
      <c r="E1113" s="39" t="str">
        <f>HYPERLINK("https://www.google.ru/search?q=3026545-006&amp;newwindow=1&amp;tbm=isch","Еще фото")</f>
        <v>Еще фото</v>
      </c>
      <c r="F1113" s="13"/>
      <c r="G1113" s="11" t="s">
        <v>808</v>
      </c>
      <c r="H1113" s="11" t="s">
        <v>593</v>
      </c>
      <c r="I1113" s="14" t="s">
        <v>809</v>
      </c>
      <c r="J1113" s="14" t="s">
        <v>29</v>
      </c>
      <c r="K1113" s="15" t="s">
        <v>30</v>
      </c>
      <c r="L1113" s="14" t="s">
        <v>1362</v>
      </c>
      <c r="M1113" s="14" t="s">
        <v>824</v>
      </c>
      <c r="N1113" s="14" t="s">
        <v>1133</v>
      </c>
      <c r="O1113" s="14"/>
      <c r="P1113" s="15" t="s">
        <v>1386</v>
      </c>
      <c r="Q1113" s="16">
        <v>20299</v>
      </c>
      <c r="R1113" s="17">
        <v>40</v>
      </c>
      <c r="S1113" s="18">
        <v>14006.309999999998</v>
      </c>
      <c r="T1113" s="19" t="s">
        <v>36</v>
      </c>
      <c r="U1113" s="20" t="s">
        <v>601</v>
      </c>
      <c r="V1113" s="22">
        <v>41</v>
      </c>
      <c r="W1113" s="22">
        <v>2</v>
      </c>
      <c r="X1113" s="23"/>
    </row>
    <row r="1114" spans="1:24" s="1" customFormat="1" ht="51.95" customHeight="1" x14ac:dyDescent="0.3">
      <c r="A1114" s="11" t="s">
        <v>23</v>
      </c>
      <c r="B1114" s="11" t="s">
        <v>1575</v>
      </c>
      <c r="C1114" s="12" t="s">
        <v>1576</v>
      </c>
      <c r="D1114" s="59"/>
      <c r="E1114" s="39" t="str">
        <f>HYPERLINK("https://www.google.ru/search?q=3026548-300&amp;newwindow=1&amp;tbm=isch","Еще фото")</f>
        <v>Еще фото</v>
      </c>
      <c r="F1114" s="13"/>
      <c r="G1114" s="11" t="s">
        <v>808</v>
      </c>
      <c r="H1114" s="11" t="s">
        <v>593</v>
      </c>
      <c r="I1114" s="14" t="s">
        <v>809</v>
      </c>
      <c r="J1114" s="14" t="s">
        <v>29</v>
      </c>
      <c r="K1114" s="15" t="s">
        <v>30</v>
      </c>
      <c r="L1114" s="56" t="s">
        <v>1237</v>
      </c>
      <c r="M1114" s="14" t="s">
        <v>836</v>
      </c>
      <c r="N1114" s="14" t="s">
        <v>1577</v>
      </c>
      <c r="O1114" s="14"/>
      <c r="P1114" s="15" t="s">
        <v>1239</v>
      </c>
      <c r="Q1114" s="16">
        <v>19999</v>
      </c>
      <c r="R1114" s="17">
        <v>40</v>
      </c>
      <c r="S1114" s="18">
        <v>13799.309999999998</v>
      </c>
      <c r="T1114" s="19" t="s">
        <v>36</v>
      </c>
      <c r="U1114" s="20" t="s">
        <v>601</v>
      </c>
      <c r="V1114" s="22">
        <v>41</v>
      </c>
      <c r="W1114" s="22">
        <v>3</v>
      </c>
      <c r="X1114" s="23"/>
    </row>
    <row r="1115" spans="1:24" s="1" customFormat="1" ht="60.95" customHeight="1" x14ac:dyDescent="0.3">
      <c r="A1115" s="24" t="s">
        <v>23</v>
      </c>
      <c r="B1115" s="24" t="s">
        <v>1575</v>
      </c>
      <c r="C1115" s="12" t="s">
        <v>1576</v>
      </c>
      <c r="D1115" s="60"/>
      <c r="E1115" s="39" t="str">
        <f>HYPERLINK("https://www.google.ru/search?q=3026548-300&amp;newwindow=1&amp;tbm=isch","Еще фото")</f>
        <v>Еще фото</v>
      </c>
      <c r="F1115" s="13"/>
      <c r="G1115" s="24" t="s">
        <v>808</v>
      </c>
      <c r="H1115" s="24" t="s">
        <v>593</v>
      </c>
      <c r="I1115" s="24" t="s">
        <v>809</v>
      </c>
      <c r="J1115" s="14" t="s">
        <v>29</v>
      </c>
      <c r="K1115" s="15" t="s">
        <v>30</v>
      </c>
      <c r="L1115" s="58"/>
      <c r="M1115" s="14" t="s">
        <v>836</v>
      </c>
      <c r="N1115" s="14" t="s">
        <v>1577</v>
      </c>
      <c r="O1115" s="14"/>
      <c r="P1115" s="15" t="s">
        <v>1239</v>
      </c>
      <c r="Q1115" s="16">
        <v>19999</v>
      </c>
      <c r="R1115" s="17">
        <v>40</v>
      </c>
      <c r="S1115" s="18">
        <v>13799.309999999998</v>
      </c>
      <c r="T1115" s="19" t="s">
        <v>36</v>
      </c>
      <c r="U1115" s="20" t="s">
        <v>602</v>
      </c>
      <c r="V1115" s="28">
        <v>41.5</v>
      </c>
      <c r="W1115" s="22">
        <v>4</v>
      </c>
      <c r="X1115" s="23"/>
    </row>
    <row r="1116" spans="1:24" s="1" customFormat="1" ht="108" customHeight="1" x14ac:dyDescent="0.3">
      <c r="A1116" s="11" t="s">
        <v>23</v>
      </c>
      <c r="B1116" s="11" t="s">
        <v>1090</v>
      </c>
      <c r="C1116" s="12" t="s">
        <v>1578</v>
      </c>
      <c r="D1116" s="25"/>
      <c r="E1116" s="39" t="str">
        <f>HYPERLINK("https://www.google.ru/search?q=3026582-001&amp;newwindow=1&amp;tbm=isch","Еще фото")</f>
        <v>Еще фото</v>
      </c>
      <c r="F1116" s="13"/>
      <c r="G1116" s="11" t="s">
        <v>808</v>
      </c>
      <c r="H1116" s="11" t="s">
        <v>593</v>
      </c>
      <c r="I1116" s="14" t="s">
        <v>809</v>
      </c>
      <c r="J1116" s="14" t="s">
        <v>29</v>
      </c>
      <c r="K1116" s="15" t="s">
        <v>30</v>
      </c>
      <c r="L1116" s="14" t="s">
        <v>1579</v>
      </c>
      <c r="M1116" s="14" t="s">
        <v>824</v>
      </c>
      <c r="N1116" s="14" t="s">
        <v>33</v>
      </c>
      <c r="O1116" s="14"/>
      <c r="P1116" s="15" t="s">
        <v>1014</v>
      </c>
      <c r="Q1116" s="16">
        <v>21999</v>
      </c>
      <c r="R1116" s="17">
        <v>40</v>
      </c>
      <c r="S1116" s="18">
        <v>15179.309999999998</v>
      </c>
      <c r="T1116" s="19" t="s">
        <v>36</v>
      </c>
      <c r="U1116" s="20" t="s">
        <v>599</v>
      </c>
      <c r="V1116" s="28">
        <v>39.5</v>
      </c>
      <c r="W1116" s="22">
        <v>1</v>
      </c>
      <c r="X1116" s="23"/>
    </row>
    <row r="1117" spans="1:24" s="1" customFormat="1" ht="51.95" customHeight="1" x14ac:dyDescent="0.3">
      <c r="A1117" s="11" t="s">
        <v>23</v>
      </c>
      <c r="B1117" s="11" t="s">
        <v>1580</v>
      </c>
      <c r="C1117" s="12" t="s">
        <v>1581</v>
      </c>
      <c r="D1117" s="59"/>
      <c r="E1117" s="39" t="str">
        <f>HYPERLINK("https://www.google.ru/search?q=3026608-102&amp;newwindow=1&amp;tbm=isch","Еще фото")</f>
        <v>Еще фото</v>
      </c>
      <c r="F1117" s="13"/>
      <c r="G1117" s="11" t="s">
        <v>808</v>
      </c>
      <c r="H1117" s="11" t="s">
        <v>593</v>
      </c>
      <c r="I1117" s="14" t="s">
        <v>809</v>
      </c>
      <c r="J1117" s="14" t="s">
        <v>29</v>
      </c>
      <c r="K1117" s="15" t="s">
        <v>30</v>
      </c>
      <c r="L1117" s="56" t="s">
        <v>1582</v>
      </c>
      <c r="M1117" s="14"/>
      <c r="N1117" s="14" t="s">
        <v>84</v>
      </c>
      <c r="O1117" s="14"/>
      <c r="P1117" s="15" t="s">
        <v>1583</v>
      </c>
      <c r="Q1117" s="16">
        <v>14999</v>
      </c>
      <c r="R1117" s="17">
        <v>40</v>
      </c>
      <c r="S1117" s="18">
        <v>10349.31</v>
      </c>
      <c r="T1117" s="19" t="s">
        <v>36</v>
      </c>
      <c r="U1117" s="20" t="s">
        <v>600</v>
      </c>
      <c r="V1117" s="22">
        <v>40</v>
      </c>
      <c r="W1117" s="22">
        <v>1</v>
      </c>
      <c r="X1117" s="23"/>
    </row>
    <row r="1118" spans="1:24" s="1" customFormat="1" ht="60.95" customHeight="1" x14ac:dyDescent="0.3">
      <c r="A1118" s="24" t="s">
        <v>23</v>
      </c>
      <c r="B1118" s="24" t="s">
        <v>1580</v>
      </c>
      <c r="C1118" s="12" t="s">
        <v>1581</v>
      </c>
      <c r="D1118" s="60"/>
      <c r="E1118" s="39" t="str">
        <f>HYPERLINK("https://www.google.ru/search?q=3026608-102&amp;newwindow=1&amp;tbm=isch","Еще фото")</f>
        <v>Еще фото</v>
      </c>
      <c r="F1118" s="13"/>
      <c r="G1118" s="24" t="s">
        <v>808</v>
      </c>
      <c r="H1118" s="24" t="s">
        <v>593</v>
      </c>
      <c r="I1118" s="24" t="s">
        <v>809</v>
      </c>
      <c r="J1118" s="14" t="s">
        <v>29</v>
      </c>
      <c r="K1118" s="15" t="s">
        <v>30</v>
      </c>
      <c r="L1118" s="58"/>
      <c r="M1118" s="14"/>
      <c r="N1118" s="14" t="s">
        <v>84</v>
      </c>
      <c r="O1118" s="14"/>
      <c r="P1118" s="15" t="s">
        <v>1583</v>
      </c>
      <c r="Q1118" s="16">
        <v>14999</v>
      </c>
      <c r="R1118" s="17">
        <v>40</v>
      </c>
      <c r="S1118" s="18">
        <v>10349.31</v>
      </c>
      <c r="T1118" s="19" t="s">
        <v>36</v>
      </c>
      <c r="U1118" s="20" t="s">
        <v>602</v>
      </c>
      <c r="V1118" s="28">
        <v>41.5</v>
      </c>
      <c r="W1118" s="22">
        <v>1</v>
      </c>
      <c r="X1118" s="23"/>
    </row>
    <row r="1119" spans="1:24" s="1" customFormat="1" ht="35.1" customHeight="1" x14ac:dyDescent="0.3">
      <c r="A1119" s="11" t="s">
        <v>23</v>
      </c>
      <c r="B1119" s="11" t="s">
        <v>1584</v>
      </c>
      <c r="C1119" s="12" t="s">
        <v>1585</v>
      </c>
      <c r="D1119" s="53"/>
      <c r="E1119" s="39" t="str">
        <f>HYPERLINK("https://www.google.ru/search?q=3026609-001&amp;newwindow=1&amp;tbm=isch","Еще фото")</f>
        <v>Еще фото</v>
      </c>
      <c r="F1119" s="13" t="s">
        <v>310</v>
      </c>
      <c r="G1119" s="11" t="s">
        <v>808</v>
      </c>
      <c r="H1119" s="11" t="s">
        <v>593</v>
      </c>
      <c r="I1119" s="14" t="s">
        <v>809</v>
      </c>
      <c r="J1119" s="14" t="s">
        <v>29</v>
      </c>
      <c r="K1119" s="15" t="s">
        <v>64</v>
      </c>
      <c r="L1119" s="56" t="s">
        <v>1586</v>
      </c>
      <c r="M1119" s="14"/>
      <c r="N1119" s="14" t="s">
        <v>33</v>
      </c>
      <c r="O1119" s="14"/>
      <c r="P1119" s="15" t="s">
        <v>1393</v>
      </c>
      <c r="Q1119" s="16">
        <v>11599</v>
      </c>
      <c r="R1119" s="17">
        <v>40</v>
      </c>
      <c r="S1119" s="18">
        <v>8003.3099999999986</v>
      </c>
      <c r="T1119" s="19" t="s">
        <v>36</v>
      </c>
      <c r="U1119" s="20" t="s">
        <v>820</v>
      </c>
      <c r="V1119" s="22">
        <v>36</v>
      </c>
      <c r="W1119" s="22">
        <v>2</v>
      </c>
      <c r="X1119" s="23"/>
    </row>
    <row r="1120" spans="1:24" s="1" customFormat="1" ht="35.1" customHeight="1" x14ac:dyDescent="0.3">
      <c r="A1120" s="24" t="s">
        <v>23</v>
      </c>
      <c r="B1120" s="24" t="s">
        <v>1584</v>
      </c>
      <c r="C1120" s="12" t="s">
        <v>1585</v>
      </c>
      <c r="D1120" s="54"/>
      <c r="E1120" s="39" t="str">
        <f>HYPERLINK("https://www.google.ru/search?q=3026609-001&amp;newwindow=1&amp;tbm=isch","Еще фото")</f>
        <v>Еще фото</v>
      </c>
      <c r="F1120" s="13" t="s">
        <v>310</v>
      </c>
      <c r="G1120" s="24" t="s">
        <v>808</v>
      </c>
      <c r="H1120" s="24" t="s">
        <v>593</v>
      </c>
      <c r="I1120" s="24" t="s">
        <v>809</v>
      </c>
      <c r="J1120" s="14" t="s">
        <v>29</v>
      </c>
      <c r="K1120" s="15" t="s">
        <v>64</v>
      </c>
      <c r="L1120" s="57"/>
      <c r="M1120" s="14"/>
      <c r="N1120" s="14" t="s">
        <v>33</v>
      </c>
      <c r="O1120" s="14"/>
      <c r="P1120" s="15" t="s">
        <v>1393</v>
      </c>
      <c r="Q1120" s="16">
        <v>11599</v>
      </c>
      <c r="R1120" s="17">
        <v>40</v>
      </c>
      <c r="S1120" s="18">
        <v>8003.3099999999986</v>
      </c>
      <c r="T1120" s="19" t="s">
        <v>36</v>
      </c>
      <c r="U1120" s="20" t="s">
        <v>814</v>
      </c>
      <c r="V1120" s="28">
        <v>36.5</v>
      </c>
      <c r="W1120" s="22">
        <v>1</v>
      </c>
      <c r="X1120" s="23"/>
    </row>
    <row r="1121" spans="1:24" s="1" customFormat="1" ht="36.950000000000003" customHeight="1" x14ac:dyDescent="0.3">
      <c r="A1121" s="24" t="s">
        <v>23</v>
      </c>
      <c r="B1121" s="24" t="s">
        <v>1584</v>
      </c>
      <c r="C1121" s="12" t="s">
        <v>1585</v>
      </c>
      <c r="D1121" s="55"/>
      <c r="E1121" s="39" t="str">
        <f>HYPERLINK("https://www.google.ru/search?q=3026609-001&amp;newwindow=1&amp;tbm=isch","Еще фото")</f>
        <v>Еще фото</v>
      </c>
      <c r="F1121" s="13" t="s">
        <v>310</v>
      </c>
      <c r="G1121" s="24" t="s">
        <v>808</v>
      </c>
      <c r="H1121" s="24" t="s">
        <v>593</v>
      </c>
      <c r="I1121" s="24" t="s">
        <v>809</v>
      </c>
      <c r="J1121" s="14" t="s">
        <v>29</v>
      </c>
      <c r="K1121" s="15" t="s">
        <v>64</v>
      </c>
      <c r="L1121" s="58"/>
      <c r="M1121" s="14"/>
      <c r="N1121" s="14" t="s">
        <v>33</v>
      </c>
      <c r="O1121" s="14"/>
      <c r="P1121" s="15" t="s">
        <v>1393</v>
      </c>
      <c r="Q1121" s="16">
        <v>11599</v>
      </c>
      <c r="R1121" s="17">
        <v>40</v>
      </c>
      <c r="S1121" s="18">
        <v>8003.3099999999986</v>
      </c>
      <c r="T1121" s="19" t="s">
        <v>36</v>
      </c>
      <c r="U1121" s="20" t="s">
        <v>598</v>
      </c>
      <c r="V1121" s="22">
        <v>37</v>
      </c>
      <c r="W1121" s="22">
        <v>2</v>
      </c>
      <c r="X1121" s="23"/>
    </row>
    <row r="1122" spans="1:24" s="1" customFormat="1" ht="26.1" customHeight="1" x14ac:dyDescent="0.3">
      <c r="A1122" s="11" t="s">
        <v>23</v>
      </c>
      <c r="B1122" s="11" t="s">
        <v>1584</v>
      </c>
      <c r="C1122" s="12" t="s">
        <v>1587</v>
      </c>
      <c r="D1122" s="53"/>
      <c r="E1122" s="39" t="str">
        <f>HYPERLINK("https://www.google.ru/search?q=3026609-103&amp;newwindow=1&amp;tbm=isch","Еще фото")</f>
        <v>Еще фото</v>
      </c>
      <c r="F1122" s="13"/>
      <c r="G1122" s="11" t="s">
        <v>808</v>
      </c>
      <c r="H1122" s="11" t="s">
        <v>593</v>
      </c>
      <c r="I1122" s="14" t="s">
        <v>809</v>
      </c>
      <c r="J1122" s="14" t="s">
        <v>29</v>
      </c>
      <c r="K1122" s="15" t="s">
        <v>64</v>
      </c>
      <c r="L1122" s="56" t="s">
        <v>1586</v>
      </c>
      <c r="M1122" s="14"/>
      <c r="N1122" s="14" t="s">
        <v>74</v>
      </c>
      <c r="O1122" s="14"/>
      <c r="P1122" s="15" t="s">
        <v>1583</v>
      </c>
      <c r="Q1122" s="16">
        <v>13999</v>
      </c>
      <c r="R1122" s="17">
        <v>40</v>
      </c>
      <c r="S1122" s="18">
        <v>9659.31</v>
      </c>
      <c r="T1122" s="19" t="s">
        <v>36</v>
      </c>
      <c r="U1122" s="20" t="s">
        <v>820</v>
      </c>
      <c r="V1122" s="22">
        <v>36</v>
      </c>
      <c r="W1122" s="22">
        <v>2</v>
      </c>
      <c r="X1122" s="23"/>
    </row>
    <row r="1123" spans="1:24" s="1" customFormat="1" ht="26.1" customHeight="1" x14ac:dyDescent="0.3">
      <c r="A1123" s="24" t="s">
        <v>23</v>
      </c>
      <c r="B1123" s="24" t="s">
        <v>1584</v>
      </c>
      <c r="C1123" s="12" t="s">
        <v>1587</v>
      </c>
      <c r="D1123" s="54"/>
      <c r="E1123" s="39" t="str">
        <f>HYPERLINK("https://www.google.ru/search?q=3026609-103&amp;newwindow=1&amp;tbm=isch","Еще фото")</f>
        <v>Еще фото</v>
      </c>
      <c r="F1123" s="13"/>
      <c r="G1123" s="24" t="s">
        <v>808</v>
      </c>
      <c r="H1123" s="24" t="s">
        <v>593</v>
      </c>
      <c r="I1123" s="24" t="s">
        <v>809</v>
      </c>
      <c r="J1123" s="14" t="s">
        <v>29</v>
      </c>
      <c r="K1123" s="15" t="s">
        <v>64</v>
      </c>
      <c r="L1123" s="57"/>
      <c r="M1123" s="14"/>
      <c r="N1123" s="14" t="s">
        <v>74</v>
      </c>
      <c r="O1123" s="14"/>
      <c r="P1123" s="15" t="s">
        <v>1583</v>
      </c>
      <c r="Q1123" s="16">
        <v>13999</v>
      </c>
      <c r="R1123" s="17">
        <v>40</v>
      </c>
      <c r="S1123" s="18">
        <v>9659.31</v>
      </c>
      <c r="T1123" s="19" t="s">
        <v>36</v>
      </c>
      <c r="U1123" s="20" t="s">
        <v>598</v>
      </c>
      <c r="V1123" s="22">
        <v>37</v>
      </c>
      <c r="W1123" s="22">
        <v>18</v>
      </c>
      <c r="X1123" s="23"/>
    </row>
    <row r="1124" spans="1:24" s="1" customFormat="1" ht="26.1" customHeight="1" x14ac:dyDescent="0.3">
      <c r="A1124" s="24" t="s">
        <v>23</v>
      </c>
      <c r="B1124" s="24" t="s">
        <v>1584</v>
      </c>
      <c r="C1124" s="12" t="s">
        <v>1587</v>
      </c>
      <c r="D1124" s="54"/>
      <c r="E1124" s="39" t="str">
        <f>HYPERLINK("https://www.google.ru/search?q=3026609-103&amp;newwindow=1&amp;tbm=isch","Еще фото")</f>
        <v>Еще фото</v>
      </c>
      <c r="F1124" s="13"/>
      <c r="G1124" s="24" t="s">
        <v>808</v>
      </c>
      <c r="H1124" s="24" t="s">
        <v>593</v>
      </c>
      <c r="I1124" s="24" t="s">
        <v>809</v>
      </c>
      <c r="J1124" s="14" t="s">
        <v>29</v>
      </c>
      <c r="K1124" s="15" t="s">
        <v>64</v>
      </c>
      <c r="L1124" s="57"/>
      <c r="M1124" s="14"/>
      <c r="N1124" s="14" t="s">
        <v>74</v>
      </c>
      <c r="O1124" s="14"/>
      <c r="P1124" s="15" t="s">
        <v>1583</v>
      </c>
      <c r="Q1124" s="16">
        <v>13999</v>
      </c>
      <c r="R1124" s="17">
        <v>40</v>
      </c>
      <c r="S1124" s="18">
        <v>9659.31</v>
      </c>
      <c r="T1124" s="19" t="s">
        <v>36</v>
      </c>
      <c r="U1124" s="20" t="s">
        <v>599</v>
      </c>
      <c r="V1124" s="28">
        <v>37.5</v>
      </c>
      <c r="W1124" s="22">
        <v>15</v>
      </c>
      <c r="X1124" s="23"/>
    </row>
    <row r="1125" spans="1:24" s="1" customFormat="1" ht="26.1" customHeight="1" x14ac:dyDescent="0.3">
      <c r="A1125" s="24" t="s">
        <v>23</v>
      </c>
      <c r="B1125" s="24" t="s">
        <v>1584</v>
      </c>
      <c r="C1125" s="12" t="s">
        <v>1587</v>
      </c>
      <c r="D1125" s="55"/>
      <c r="E1125" s="39" t="str">
        <f>HYPERLINK("https://www.google.ru/search?q=3026609-103&amp;newwindow=1&amp;tbm=isch","Еще фото")</f>
        <v>Еще фото</v>
      </c>
      <c r="F1125" s="13"/>
      <c r="G1125" s="24" t="s">
        <v>808</v>
      </c>
      <c r="H1125" s="24" t="s">
        <v>593</v>
      </c>
      <c r="I1125" s="24" t="s">
        <v>809</v>
      </c>
      <c r="J1125" s="14" t="s">
        <v>29</v>
      </c>
      <c r="K1125" s="15" t="s">
        <v>64</v>
      </c>
      <c r="L1125" s="58"/>
      <c r="M1125" s="14"/>
      <c r="N1125" s="14" t="s">
        <v>74</v>
      </c>
      <c r="O1125" s="14"/>
      <c r="P1125" s="15" t="s">
        <v>1583</v>
      </c>
      <c r="Q1125" s="16">
        <v>13999</v>
      </c>
      <c r="R1125" s="17">
        <v>40</v>
      </c>
      <c r="S1125" s="18">
        <v>9659.31</v>
      </c>
      <c r="T1125" s="19" t="s">
        <v>36</v>
      </c>
      <c r="U1125" s="20" t="s">
        <v>600</v>
      </c>
      <c r="V1125" s="22">
        <v>38</v>
      </c>
      <c r="W1125" s="22">
        <v>5</v>
      </c>
      <c r="X1125" s="23"/>
    </row>
    <row r="1126" spans="1:24" s="1" customFormat="1" ht="108" customHeight="1" x14ac:dyDescent="0.3">
      <c r="A1126" s="11" t="s">
        <v>23</v>
      </c>
      <c r="B1126" s="11" t="s">
        <v>1417</v>
      </c>
      <c r="C1126" s="12" t="s">
        <v>1588</v>
      </c>
      <c r="D1126" s="25"/>
      <c r="E1126" s="39" t="str">
        <f>HYPERLINK("https://www.google.ru/search?q=3026634-001&amp;newwindow=1&amp;tbm=isch","Еще фото")</f>
        <v>Еще фото</v>
      </c>
      <c r="F1126" s="13" t="s">
        <v>98</v>
      </c>
      <c r="G1126" s="11" t="s">
        <v>808</v>
      </c>
      <c r="H1126" s="11" t="s">
        <v>593</v>
      </c>
      <c r="I1126" s="14" t="s">
        <v>809</v>
      </c>
      <c r="J1126" s="14" t="s">
        <v>892</v>
      </c>
      <c r="K1126" s="15" t="s">
        <v>578</v>
      </c>
      <c r="L1126" s="14" t="s">
        <v>1419</v>
      </c>
      <c r="M1126" s="14"/>
      <c r="N1126" s="14" t="s">
        <v>33</v>
      </c>
      <c r="O1126" s="14"/>
      <c r="P1126" s="15" t="s">
        <v>1420</v>
      </c>
      <c r="Q1126" s="16">
        <v>12799</v>
      </c>
      <c r="R1126" s="17">
        <v>40</v>
      </c>
      <c r="S1126" s="18">
        <v>8831.31</v>
      </c>
      <c r="T1126" s="19" t="s">
        <v>36</v>
      </c>
      <c r="U1126" s="20" t="s">
        <v>875</v>
      </c>
      <c r="V1126" s="28">
        <v>41.5</v>
      </c>
      <c r="W1126" s="22">
        <v>1</v>
      </c>
      <c r="X1126" s="23"/>
    </row>
    <row r="1127" spans="1:24" s="1" customFormat="1" ht="108" customHeight="1" x14ac:dyDescent="0.3">
      <c r="A1127" s="11" t="s">
        <v>23</v>
      </c>
      <c r="B1127" s="11" t="s">
        <v>1170</v>
      </c>
      <c r="C1127" s="12" t="s">
        <v>1589</v>
      </c>
      <c r="D1127" s="25"/>
      <c r="E1127" s="39" t="str">
        <f>HYPERLINK("https://www.google.ru/search?q=3026679-002&amp;newwindow=1&amp;tbm=isch","Еще фото")</f>
        <v>Еще фото</v>
      </c>
      <c r="F1127" s="13"/>
      <c r="G1127" s="11" t="s">
        <v>808</v>
      </c>
      <c r="H1127" s="11" t="s">
        <v>593</v>
      </c>
      <c r="I1127" s="14" t="s">
        <v>809</v>
      </c>
      <c r="J1127" s="14" t="s">
        <v>29</v>
      </c>
      <c r="K1127" s="15" t="s">
        <v>30</v>
      </c>
      <c r="L1127" s="14" t="s">
        <v>1590</v>
      </c>
      <c r="M1127" s="14" t="s">
        <v>811</v>
      </c>
      <c r="N1127" s="14" t="s">
        <v>33</v>
      </c>
      <c r="O1127" s="14"/>
      <c r="P1127" s="15" t="s">
        <v>1173</v>
      </c>
      <c r="Q1127" s="16">
        <v>11999</v>
      </c>
      <c r="R1127" s="17">
        <v>40</v>
      </c>
      <c r="S1127" s="18">
        <v>8279.31</v>
      </c>
      <c r="T1127" s="19" t="s">
        <v>36</v>
      </c>
      <c r="U1127" s="20" t="s">
        <v>598</v>
      </c>
      <c r="V1127" s="22">
        <v>39</v>
      </c>
      <c r="W1127" s="22">
        <v>2</v>
      </c>
      <c r="X1127" s="23"/>
    </row>
    <row r="1128" spans="1:24" s="1" customFormat="1" ht="35.1" customHeight="1" x14ac:dyDescent="0.3">
      <c r="A1128" s="11" t="s">
        <v>23</v>
      </c>
      <c r="B1128" s="11" t="s">
        <v>1061</v>
      </c>
      <c r="C1128" s="12" t="s">
        <v>1591</v>
      </c>
      <c r="D1128" s="53"/>
      <c r="E1128" s="39" t="str">
        <f>HYPERLINK("https://www.google.ru/search?q=3026727-002&amp;newwindow=1&amp;tbm=isch","Еще фото")</f>
        <v>Еще фото</v>
      </c>
      <c r="F1128" s="13" t="s">
        <v>98</v>
      </c>
      <c r="G1128" s="11" t="s">
        <v>808</v>
      </c>
      <c r="H1128" s="11" t="s">
        <v>593</v>
      </c>
      <c r="I1128" s="14" t="s">
        <v>809</v>
      </c>
      <c r="J1128" s="14" t="s">
        <v>29</v>
      </c>
      <c r="K1128" s="15" t="s">
        <v>30</v>
      </c>
      <c r="L1128" s="56" t="s">
        <v>1592</v>
      </c>
      <c r="M1128" s="14" t="s">
        <v>959</v>
      </c>
      <c r="N1128" s="14" t="s">
        <v>33</v>
      </c>
      <c r="O1128" s="14"/>
      <c r="P1128" s="15" t="s">
        <v>1064</v>
      </c>
      <c r="Q1128" s="16">
        <v>8599</v>
      </c>
      <c r="R1128" s="17">
        <v>40</v>
      </c>
      <c r="S1128" s="18">
        <v>5933.3099999999995</v>
      </c>
      <c r="T1128" s="19" t="s">
        <v>36</v>
      </c>
      <c r="U1128" s="20" t="s">
        <v>599</v>
      </c>
      <c r="V1128" s="28">
        <v>39.5</v>
      </c>
      <c r="W1128" s="22">
        <v>1</v>
      </c>
      <c r="X1128" s="23"/>
    </row>
    <row r="1129" spans="1:24" s="1" customFormat="1" ht="35.1" customHeight="1" x14ac:dyDescent="0.3">
      <c r="A1129" s="24" t="s">
        <v>23</v>
      </c>
      <c r="B1129" s="24" t="s">
        <v>1061</v>
      </c>
      <c r="C1129" s="12" t="s">
        <v>1591</v>
      </c>
      <c r="D1129" s="54"/>
      <c r="E1129" s="39" t="str">
        <f>HYPERLINK("https://www.google.ru/search?q=3026727-002&amp;newwindow=1&amp;tbm=isch","Еще фото")</f>
        <v>Еще фото</v>
      </c>
      <c r="F1129" s="13" t="s">
        <v>98</v>
      </c>
      <c r="G1129" s="24" t="s">
        <v>808</v>
      </c>
      <c r="H1129" s="24" t="s">
        <v>593</v>
      </c>
      <c r="I1129" s="24" t="s">
        <v>809</v>
      </c>
      <c r="J1129" s="14" t="s">
        <v>29</v>
      </c>
      <c r="K1129" s="15" t="s">
        <v>30</v>
      </c>
      <c r="L1129" s="57"/>
      <c r="M1129" s="14" t="s">
        <v>959</v>
      </c>
      <c r="N1129" s="14" t="s">
        <v>33</v>
      </c>
      <c r="O1129" s="14"/>
      <c r="P1129" s="15" t="s">
        <v>1064</v>
      </c>
      <c r="Q1129" s="16">
        <v>8599</v>
      </c>
      <c r="R1129" s="17">
        <v>40</v>
      </c>
      <c r="S1129" s="18">
        <v>5933.3099999999995</v>
      </c>
      <c r="T1129" s="19" t="s">
        <v>36</v>
      </c>
      <c r="U1129" s="20" t="s">
        <v>601</v>
      </c>
      <c r="V1129" s="22">
        <v>41</v>
      </c>
      <c r="W1129" s="22">
        <v>1</v>
      </c>
      <c r="X1129" s="23"/>
    </row>
    <row r="1130" spans="1:24" s="1" customFormat="1" ht="36.950000000000003" customHeight="1" x14ac:dyDescent="0.3">
      <c r="A1130" s="24" t="s">
        <v>23</v>
      </c>
      <c r="B1130" s="24" t="s">
        <v>1061</v>
      </c>
      <c r="C1130" s="12" t="s">
        <v>1591</v>
      </c>
      <c r="D1130" s="55"/>
      <c r="E1130" s="39" t="str">
        <f>HYPERLINK("https://www.google.ru/search?q=3026727-002&amp;newwindow=1&amp;tbm=isch","Еще фото")</f>
        <v>Еще фото</v>
      </c>
      <c r="F1130" s="13" t="s">
        <v>98</v>
      </c>
      <c r="G1130" s="24" t="s">
        <v>808</v>
      </c>
      <c r="H1130" s="24" t="s">
        <v>593</v>
      </c>
      <c r="I1130" s="24" t="s">
        <v>809</v>
      </c>
      <c r="J1130" s="14" t="s">
        <v>29</v>
      </c>
      <c r="K1130" s="15" t="s">
        <v>30</v>
      </c>
      <c r="L1130" s="58"/>
      <c r="M1130" s="14" t="s">
        <v>959</v>
      </c>
      <c r="N1130" s="14" t="s">
        <v>33</v>
      </c>
      <c r="O1130" s="14"/>
      <c r="P1130" s="15" t="s">
        <v>1064</v>
      </c>
      <c r="Q1130" s="16">
        <v>8599</v>
      </c>
      <c r="R1130" s="17">
        <v>40</v>
      </c>
      <c r="S1130" s="18">
        <v>5933.3099999999995</v>
      </c>
      <c r="T1130" s="19" t="s">
        <v>36</v>
      </c>
      <c r="U1130" s="20" t="s">
        <v>602</v>
      </c>
      <c r="V1130" s="28">
        <v>41.5</v>
      </c>
      <c r="W1130" s="22">
        <v>2</v>
      </c>
      <c r="X1130" s="23"/>
    </row>
    <row r="1131" spans="1:24" s="1" customFormat="1" ht="35.1" customHeight="1" x14ac:dyDescent="0.3">
      <c r="A1131" s="11" t="s">
        <v>23</v>
      </c>
      <c r="B1131" s="11" t="s">
        <v>1061</v>
      </c>
      <c r="C1131" s="12" t="s">
        <v>1593</v>
      </c>
      <c r="D1131" s="53"/>
      <c r="E1131" s="39" t="str">
        <f>HYPERLINK("https://www.google.ru/search?q=3026727-003&amp;newwindow=1&amp;tbm=isch","Еще фото")</f>
        <v>Еще фото</v>
      </c>
      <c r="F1131" s="13" t="s">
        <v>310</v>
      </c>
      <c r="G1131" s="11" t="s">
        <v>808</v>
      </c>
      <c r="H1131" s="11" t="s">
        <v>593</v>
      </c>
      <c r="I1131" s="14" t="s">
        <v>809</v>
      </c>
      <c r="J1131" s="14" t="s">
        <v>29</v>
      </c>
      <c r="K1131" s="15" t="s">
        <v>30</v>
      </c>
      <c r="L1131" s="56" t="s">
        <v>1594</v>
      </c>
      <c r="M1131" s="14" t="s">
        <v>959</v>
      </c>
      <c r="N1131" s="14" t="s">
        <v>33</v>
      </c>
      <c r="O1131" s="14"/>
      <c r="P1131" s="15" t="s">
        <v>1064</v>
      </c>
      <c r="Q1131" s="16">
        <v>8599</v>
      </c>
      <c r="R1131" s="17">
        <v>40</v>
      </c>
      <c r="S1131" s="18">
        <v>5933.3099999999995</v>
      </c>
      <c r="T1131" s="19" t="s">
        <v>36</v>
      </c>
      <c r="U1131" s="20" t="s">
        <v>599</v>
      </c>
      <c r="V1131" s="28">
        <v>39.5</v>
      </c>
      <c r="W1131" s="22">
        <v>2</v>
      </c>
      <c r="X1131" s="23"/>
    </row>
    <row r="1132" spans="1:24" s="1" customFormat="1" ht="35.1" customHeight="1" x14ac:dyDescent="0.3">
      <c r="A1132" s="24" t="s">
        <v>23</v>
      </c>
      <c r="B1132" s="24" t="s">
        <v>1061</v>
      </c>
      <c r="C1132" s="12" t="s">
        <v>1593</v>
      </c>
      <c r="D1132" s="54"/>
      <c r="E1132" s="39" t="str">
        <f>HYPERLINK("https://www.google.ru/search?q=3026727-003&amp;newwindow=1&amp;tbm=isch","Еще фото")</f>
        <v>Еще фото</v>
      </c>
      <c r="F1132" s="13" t="s">
        <v>310</v>
      </c>
      <c r="G1132" s="24" t="s">
        <v>808</v>
      </c>
      <c r="H1132" s="24" t="s">
        <v>593</v>
      </c>
      <c r="I1132" s="24" t="s">
        <v>809</v>
      </c>
      <c r="J1132" s="14" t="s">
        <v>29</v>
      </c>
      <c r="K1132" s="15" t="s">
        <v>30</v>
      </c>
      <c r="L1132" s="57"/>
      <c r="M1132" s="14" t="s">
        <v>959</v>
      </c>
      <c r="N1132" s="14" t="s">
        <v>33</v>
      </c>
      <c r="O1132" s="14"/>
      <c r="P1132" s="15" t="s">
        <v>1064</v>
      </c>
      <c r="Q1132" s="16">
        <v>8599</v>
      </c>
      <c r="R1132" s="17">
        <v>40</v>
      </c>
      <c r="S1132" s="18">
        <v>5933.3099999999995</v>
      </c>
      <c r="T1132" s="19" t="s">
        <v>36</v>
      </c>
      <c r="U1132" s="20" t="s">
        <v>601</v>
      </c>
      <c r="V1132" s="22">
        <v>41</v>
      </c>
      <c r="W1132" s="22">
        <v>1</v>
      </c>
      <c r="X1132" s="23"/>
    </row>
    <row r="1133" spans="1:24" s="1" customFormat="1" ht="36.950000000000003" customHeight="1" x14ac:dyDescent="0.3">
      <c r="A1133" s="24" t="s">
        <v>23</v>
      </c>
      <c r="B1133" s="24" t="s">
        <v>1061</v>
      </c>
      <c r="C1133" s="12" t="s">
        <v>1593</v>
      </c>
      <c r="D1133" s="55"/>
      <c r="E1133" s="39" t="str">
        <f>HYPERLINK("https://www.google.ru/search?q=3026727-003&amp;newwindow=1&amp;tbm=isch","Еще фото")</f>
        <v>Еще фото</v>
      </c>
      <c r="F1133" s="13" t="s">
        <v>310</v>
      </c>
      <c r="G1133" s="24" t="s">
        <v>808</v>
      </c>
      <c r="H1133" s="24" t="s">
        <v>593</v>
      </c>
      <c r="I1133" s="24" t="s">
        <v>809</v>
      </c>
      <c r="J1133" s="14" t="s">
        <v>29</v>
      </c>
      <c r="K1133" s="15" t="s">
        <v>30</v>
      </c>
      <c r="L1133" s="58"/>
      <c r="M1133" s="14" t="s">
        <v>959</v>
      </c>
      <c r="N1133" s="14" t="s">
        <v>33</v>
      </c>
      <c r="O1133" s="14"/>
      <c r="P1133" s="15" t="s">
        <v>1064</v>
      </c>
      <c r="Q1133" s="16">
        <v>8599</v>
      </c>
      <c r="R1133" s="17">
        <v>40</v>
      </c>
      <c r="S1133" s="18">
        <v>5933.3099999999995</v>
      </c>
      <c r="T1133" s="19" t="s">
        <v>36</v>
      </c>
      <c r="U1133" s="20" t="s">
        <v>602</v>
      </c>
      <c r="V1133" s="28">
        <v>41.5</v>
      </c>
      <c r="W1133" s="22">
        <v>8</v>
      </c>
      <c r="X1133" s="23"/>
    </row>
    <row r="1134" spans="1:24" s="1" customFormat="1" ht="51.95" customHeight="1" x14ac:dyDescent="0.3">
      <c r="A1134" s="11" t="s">
        <v>23</v>
      </c>
      <c r="B1134" s="11" t="s">
        <v>1061</v>
      </c>
      <c r="C1134" s="12" t="s">
        <v>1595</v>
      </c>
      <c r="D1134" s="59"/>
      <c r="E1134" s="39" t="str">
        <f>HYPERLINK("https://www.google.ru/search?q=3026727-025&amp;newwindow=1&amp;tbm=isch","Еще фото")</f>
        <v>Еще фото</v>
      </c>
      <c r="F1134" s="13" t="s">
        <v>98</v>
      </c>
      <c r="G1134" s="11" t="s">
        <v>808</v>
      </c>
      <c r="H1134" s="11" t="s">
        <v>593</v>
      </c>
      <c r="I1134" s="14" t="s">
        <v>809</v>
      </c>
      <c r="J1134" s="14" t="s">
        <v>29</v>
      </c>
      <c r="K1134" s="15" t="s">
        <v>30</v>
      </c>
      <c r="L1134" s="56" t="s">
        <v>1592</v>
      </c>
      <c r="M1134" s="14"/>
      <c r="N1134" s="14" t="s">
        <v>84</v>
      </c>
      <c r="O1134" s="14"/>
      <c r="P1134" s="15" t="s">
        <v>1121</v>
      </c>
      <c r="Q1134" s="16">
        <v>8599</v>
      </c>
      <c r="R1134" s="17">
        <v>40</v>
      </c>
      <c r="S1134" s="18">
        <v>5933.3099999999995</v>
      </c>
      <c r="T1134" s="19" t="s">
        <v>36</v>
      </c>
      <c r="U1134" s="20" t="s">
        <v>602</v>
      </c>
      <c r="V1134" s="28">
        <v>41.5</v>
      </c>
      <c r="W1134" s="22">
        <v>2</v>
      </c>
      <c r="X1134" s="23"/>
    </row>
    <row r="1135" spans="1:24" s="1" customFormat="1" ht="60.95" customHeight="1" x14ac:dyDescent="0.3">
      <c r="A1135" s="24" t="s">
        <v>23</v>
      </c>
      <c r="B1135" s="24" t="s">
        <v>1061</v>
      </c>
      <c r="C1135" s="12" t="s">
        <v>1595</v>
      </c>
      <c r="D1135" s="60"/>
      <c r="E1135" s="39" t="str">
        <f>HYPERLINK("https://www.google.ru/search?q=3026727-025&amp;newwindow=1&amp;tbm=isch","Еще фото")</f>
        <v>Еще фото</v>
      </c>
      <c r="F1135" s="13" t="s">
        <v>98</v>
      </c>
      <c r="G1135" s="24" t="s">
        <v>808</v>
      </c>
      <c r="H1135" s="24" t="s">
        <v>593</v>
      </c>
      <c r="I1135" s="24" t="s">
        <v>809</v>
      </c>
      <c r="J1135" s="14" t="s">
        <v>29</v>
      </c>
      <c r="K1135" s="15" t="s">
        <v>30</v>
      </c>
      <c r="L1135" s="58"/>
      <c r="M1135" s="14"/>
      <c r="N1135" s="14" t="s">
        <v>84</v>
      </c>
      <c r="O1135" s="14"/>
      <c r="P1135" s="15" t="s">
        <v>1121</v>
      </c>
      <c r="Q1135" s="16">
        <v>8599</v>
      </c>
      <c r="R1135" s="17">
        <v>40</v>
      </c>
      <c r="S1135" s="18">
        <v>5933.3099999999995</v>
      </c>
      <c r="T1135" s="19" t="s">
        <v>36</v>
      </c>
      <c r="U1135" s="20" t="s">
        <v>606</v>
      </c>
      <c r="V1135" s="22">
        <v>44</v>
      </c>
      <c r="W1135" s="22">
        <v>1</v>
      </c>
      <c r="X1135" s="23"/>
    </row>
    <row r="1136" spans="1:24" s="1" customFormat="1" ht="26.1" customHeight="1" x14ac:dyDescent="0.3">
      <c r="A1136" s="11" t="s">
        <v>23</v>
      </c>
      <c r="B1136" s="11" t="s">
        <v>1061</v>
      </c>
      <c r="C1136" s="12" t="s">
        <v>1596</v>
      </c>
      <c r="D1136" s="53"/>
      <c r="E1136" s="39" t="str">
        <f>HYPERLINK("https://www.google.ru/search?q=3026727-100&amp;newwindow=1&amp;tbm=isch","Еще фото")</f>
        <v>Еще фото</v>
      </c>
      <c r="F1136" s="13" t="s">
        <v>98</v>
      </c>
      <c r="G1136" s="11" t="s">
        <v>808</v>
      </c>
      <c r="H1136" s="11" t="s">
        <v>593</v>
      </c>
      <c r="I1136" s="14" t="s">
        <v>809</v>
      </c>
      <c r="J1136" s="14" t="s">
        <v>29</v>
      </c>
      <c r="K1136" s="15" t="s">
        <v>30</v>
      </c>
      <c r="L1136" s="56" t="s">
        <v>1592</v>
      </c>
      <c r="M1136" s="14" t="s">
        <v>959</v>
      </c>
      <c r="N1136" s="14" t="s">
        <v>74</v>
      </c>
      <c r="O1136" s="14"/>
      <c r="P1136" s="15" t="s">
        <v>1064</v>
      </c>
      <c r="Q1136" s="16">
        <v>8599</v>
      </c>
      <c r="R1136" s="17">
        <v>40</v>
      </c>
      <c r="S1136" s="18">
        <v>5933.3099999999995</v>
      </c>
      <c r="T1136" s="19" t="s">
        <v>36</v>
      </c>
      <c r="U1136" s="20" t="s">
        <v>599</v>
      </c>
      <c r="V1136" s="28">
        <v>39.5</v>
      </c>
      <c r="W1136" s="22">
        <v>2</v>
      </c>
      <c r="X1136" s="23"/>
    </row>
    <row r="1137" spans="1:24" s="1" customFormat="1" ht="26.1" customHeight="1" x14ac:dyDescent="0.3">
      <c r="A1137" s="24" t="s">
        <v>23</v>
      </c>
      <c r="B1137" s="24" t="s">
        <v>1061</v>
      </c>
      <c r="C1137" s="12" t="s">
        <v>1596</v>
      </c>
      <c r="D1137" s="54"/>
      <c r="E1137" s="39" t="str">
        <f>HYPERLINK("https://www.google.ru/search?q=3026727-100&amp;newwindow=1&amp;tbm=isch","Еще фото")</f>
        <v>Еще фото</v>
      </c>
      <c r="F1137" s="13" t="s">
        <v>98</v>
      </c>
      <c r="G1137" s="24" t="s">
        <v>808</v>
      </c>
      <c r="H1137" s="24" t="s">
        <v>593</v>
      </c>
      <c r="I1137" s="24" t="s">
        <v>809</v>
      </c>
      <c r="J1137" s="14" t="s">
        <v>29</v>
      </c>
      <c r="K1137" s="15" t="s">
        <v>30</v>
      </c>
      <c r="L1137" s="57"/>
      <c r="M1137" s="14" t="s">
        <v>959</v>
      </c>
      <c r="N1137" s="14" t="s">
        <v>74</v>
      </c>
      <c r="O1137" s="14"/>
      <c r="P1137" s="15" t="s">
        <v>1064</v>
      </c>
      <c r="Q1137" s="16">
        <v>8599</v>
      </c>
      <c r="R1137" s="17">
        <v>40</v>
      </c>
      <c r="S1137" s="18">
        <v>5933.3099999999995</v>
      </c>
      <c r="T1137" s="19" t="s">
        <v>36</v>
      </c>
      <c r="U1137" s="20" t="s">
        <v>601</v>
      </c>
      <c r="V1137" s="22">
        <v>41</v>
      </c>
      <c r="W1137" s="22">
        <v>1</v>
      </c>
      <c r="X1137" s="23"/>
    </row>
    <row r="1138" spans="1:24" s="1" customFormat="1" ht="26.1" customHeight="1" x14ac:dyDescent="0.3">
      <c r="A1138" s="24" t="s">
        <v>23</v>
      </c>
      <c r="B1138" s="24" t="s">
        <v>1061</v>
      </c>
      <c r="C1138" s="12" t="s">
        <v>1596</v>
      </c>
      <c r="D1138" s="54"/>
      <c r="E1138" s="39" t="str">
        <f>HYPERLINK("https://www.google.ru/search?q=3026727-100&amp;newwindow=1&amp;tbm=isch","Еще фото")</f>
        <v>Еще фото</v>
      </c>
      <c r="F1138" s="13" t="s">
        <v>98</v>
      </c>
      <c r="G1138" s="24" t="s">
        <v>808</v>
      </c>
      <c r="H1138" s="24" t="s">
        <v>593</v>
      </c>
      <c r="I1138" s="24" t="s">
        <v>809</v>
      </c>
      <c r="J1138" s="14" t="s">
        <v>29</v>
      </c>
      <c r="K1138" s="15" t="s">
        <v>30</v>
      </c>
      <c r="L1138" s="57"/>
      <c r="M1138" s="14" t="s">
        <v>959</v>
      </c>
      <c r="N1138" s="14" t="s">
        <v>74</v>
      </c>
      <c r="O1138" s="14"/>
      <c r="P1138" s="15" t="s">
        <v>1064</v>
      </c>
      <c r="Q1138" s="16">
        <v>8599</v>
      </c>
      <c r="R1138" s="17">
        <v>40</v>
      </c>
      <c r="S1138" s="18">
        <v>5933.3099999999995</v>
      </c>
      <c r="T1138" s="19" t="s">
        <v>36</v>
      </c>
      <c r="U1138" s="20" t="s">
        <v>602</v>
      </c>
      <c r="V1138" s="28">
        <v>41.5</v>
      </c>
      <c r="W1138" s="22">
        <v>6</v>
      </c>
      <c r="X1138" s="23"/>
    </row>
    <row r="1139" spans="1:24" s="1" customFormat="1" ht="26.1" customHeight="1" x14ac:dyDescent="0.3">
      <c r="A1139" s="24" t="s">
        <v>23</v>
      </c>
      <c r="B1139" s="24" t="s">
        <v>1061</v>
      </c>
      <c r="C1139" s="12" t="s">
        <v>1596</v>
      </c>
      <c r="D1139" s="55"/>
      <c r="E1139" s="39" t="str">
        <f>HYPERLINK("https://www.google.ru/search?q=3026727-100&amp;newwindow=1&amp;tbm=isch","Еще фото")</f>
        <v>Еще фото</v>
      </c>
      <c r="F1139" s="13" t="s">
        <v>98</v>
      </c>
      <c r="G1139" s="24" t="s">
        <v>808</v>
      </c>
      <c r="H1139" s="24" t="s">
        <v>593</v>
      </c>
      <c r="I1139" s="24" t="s">
        <v>809</v>
      </c>
      <c r="J1139" s="14" t="s">
        <v>29</v>
      </c>
      <c r="K1139" s="15" t="s">
        <v>30</v>
      </c>
      <c r="L1139" s="58"/>
      <c r="M1139" s="14" t="s">
        <v>959</v>
      </c>
      <c r="N1139" s="14" t="s">
        <v>74</v>
      </c>
      <c r="O1139" s="14"/>
      <c r="P1139" s="15" t="s">
        <v>1064</v>
      </c>
      <c r="Q1139" s="16">
        <v>8599</v>
      </c>
      <c r="R1139" s="17">
        <v>40</v>
      </c>
      <c r="S1139" s="18">
        <v>5933.3099999999995</v>
      </c>
      <c r="T1139" s="19" t="s">
        <v>36</v>
      </c>
      <c r="U1139" s="20" t="s">
        <v>607</v>
      </c>
      <c r="V1139" s="28">
        <v>44.5</v>
      </c>
      <c r="W1139" s="22">
        <v>1</v>
      </c>
      <c r="X1139" s="23"/>
    </row>
    <row r="1140" spans="1:24" s="1" customFormat="1" ht="108" customHeight="1" x14ac:dyDescent="0.3">
      <c r="A1140" s="11" t="s">
        <v>23</v>
      </c>
      <c r="B1140" s="11" t="s">
        <v>1061</v>
      </c>
      <c r="C1140" s="12" t="s">
        <v>1597</v>
      </c>
      <c r="D1140" s="25"/>
      <c r="E1140" s="39" t="str">
        <f>HYPERLINK("https://www.google.ru/search?q=3026727-401&amp;newwindow=1&amp;tbm=isch","Еще фото")</f>
        <v>Еще фото</v>
      </c>
      <c r="F1140" s="13"/>
      <c r="G1140" s="11" t="s">
        <v>808</v>
      </c>
      <c r="H1140" s="11" t="s">
        <v>593</v>
      </c>
      <c r="I1140" s="14" t="s">
        <v>809</v>
      </c>
      <c r="J1140" s="14" t="s">
        <v>29</v>
      </c>
      <c r="K1140" s="15" t="s">
        <v>30</v>
      </c>
      <c r="L1140" s="14" t="s">
        <v>1594</v>
      </c>
      <c r="M1140" s="14"/>
      <c r="N1140" s="14" t="s">
        <v>91</v>
      </c>
      <c r="O1140" s="14"/>
      <c r="P1140" s="15" t="s">
        <v>1598</v>
      </c>
      <c r="Q1140" s="16">
        <v>8799</v>
      </c>
      <c r="R1140" s="17">
        <v>40</v>
      </c>
      <c r="S1140" s="18">
        <v>6071.3099999999995</v>
      </c>
      <c r="T1140" s="19" t="s">
        <v>36</v>
      </c>
      <c r="U1140" s="20" t="s">
        <v>602</v>
      </c>
      <c r="V1140" s="28">
        <v>41.5</v>
      </c>
      <c r="W1140" s="22">
        <v>1</v>
      </c>
      <c r="X1140" s="23"/>
    </row>
    <row r="1141" spans="1:24" s="1" customFormat="1" ht="51.95" customHeight="1" x14ac:dyDescent="0.3">
      <c r="A1141" s="11" t="s">
        <v>23</v>
      </c>
      <c r="B1141" s="11" t="s">
        <v>1061</v>
      </c>
      <c r="C1141" s="12" t="s">
        <v>1599</v>
      </c>
      <c r="D1141" s="59"/>
      <c r="E1141" s="39" t="str">
        <f>HYPERLINK("https://www.google.ru/search?q=3026727-403&amp;newwindow=1&amp;tbm=isch","Еще фото")</f>
        <v>Еще фото</v>
      </c>
      <c r="F1141" s="13"/>
      <c r="G1141" s="11" t="s">
        <v>808</v>
      </c>
      <c r="H1141" s="11" t="s">
        <v>593</v>
      </c>
      <c r="I1141" s="14" t="s">
        <v>809</v>
      </c>
      <c r="J1141" s="14" t="s">
        <v>29</v>
      </c>
      <c r="K1141" s="15" t="s">
        <v>30</v>
      </c>
      <c r="L1141" s="56" t="s">
        <v>1592</v>
      </c>
      <c r="M1141" s="14"/>
      <c r="N1141" s="14" t="s">
        <v>91</v>
      </c>
      <c r="O1141" s="14"/>
      <c r="P1141" s="15" t="s">
        <v>1178</v>
      </c>
      <c r="Q1141" s="16">
        <v>9499</v>
      </c>
      <c r="R1141" s="17">
        <v>40</v>
      </c>
      <c r="S1141" s="18">
        <v>6554.3099999999995</v>
      </c>
      <c r="T1141" s="19" t="s">
        <v>36</v>
      </c>
      <c r="U1141" s="20" t="s">
        <v>600</v>
      </c>
      <c r="V1141" s="22">
        <v>40</v>
      </c>
      <c r="W1141" s="22">
        <v>2</v>
      </c>
      <c r="X1141" s="23"/>
    </row>
    <row r="1142" spans="1:24" s="1" customFormat="1" ht="60.95" customHeight="1" x14ac:dyDescent="0.3">
      <c r="A1142" s="24" t="s">
        <v>23</v>
      </c>
      <c r="B1142" s="24" t="s">
        <v>1061</v>
      </c>
      <c r="C1142" s="12" t="s">
        <v>1599</v>
      </c>
      <c r="D1142" s="60"/>
      <c r="E1142" s="39" t="str">
        <f>HYPERLINK("https://www.google.ru/search?q=3026727-403&amp;newwindow=1&amp;tbm=isch","Еще фото")</f>
        <v>Еще фото</v>
      </c>
      <c r="F1142" s="13"/>
      <c r="G1142" s="24" t="s">
        <v>808</v>
      </c>
      <c r="H1142" s="24" t="s">
        <v>593</v>
      </c>
      <c r="I1142" s="24" t="s">
        <v>809</v>
      </c>
      <c r="J1142" s="14" t="s">
        <v>29</v>
      </c>
      <c r="K1142" s="15" t="s">
        <v>30</v>
      </c>
      <c r="L1142" s="58"/>
      <c r="M1142" s="14"/>
      <c r="N1142" s="14" t="s">
        <v>91</v>
      </c>
      <c r="O1142" s="14"/>
      <c r="P1142" s="15" t="s">
        <v>1178</v>
      </c>
      <c r="Q1142" s="16">
        <v>9499</v>
      </c>
      <c r="R1142" s="17">
        <v>40</v>
      </c>
      <c r="S1142" s="18">
        <v>6554.3099999999995</v>
      </c>
      <c r="T1142" s="19" t="s">
        <v>36</v>
      </c>
      <c r="U1142" s="20" t="s">
        <v>603</v>
      </c>
      <c r="V1142" s="22">
        <v>42</v>
      </c>
      <c r="W1142" s="22">
        <v>1</v>
      </c>
      <c r="X1142" s="23"/>
    </row>
    <row r="1143" spans="1:24" s="1" customFormat="1" ht="17.100000000000001" customHeight="1" x14ac:dyDescent="0.3">
      <c r="A1143" s="11" t="s">
        <v>23</v>
      </c>
      <c r="B1143" s="11" t="s">
        <v>1061</v>
      </c>
      <c r="C1143" s="12" t="s">
        <v>1600</v>
      </c>
      <c r="D1143" s="53"/>
      <c r="E1143" s="39" t="str">
        <f t="shared" ref="E1143:E1148" si="20">HYPERLINK("https://www.google.ru/search?q=3026727-408&amp;newwindow=1&amp;tbm=isch","Еще фото")</f>
        <v>Еще фото</v>
      </c>
      <c r="F1143" s="13" t="s">
        <v>98</v>
      </c>
      <c r="G1143" s="11" t="s">
        <v>808</v>
      </c>
      <c r="H1143" s="11" t="s">
        <v>593</v>
      </c>
      <c r="I1143" s="14" t="s">
        <v>809</v>
      </c>
      <c r="J1143" s="14" t="s">
        <v>29</v>
      </c>
      <c r="K1143" s="15" t="s">
        <v>30</v>
      </c>
      <c r="L1143" s="56" t="s">
        <v>1592</v>
      </c>
      <c r="M1143" s="14"/>
      <c r="N1143" s="14" t="s">
        <v>91</v>
      </c>
      <c r="O1143" s="14"/>
      <c r="P1143" s="15" t="s">
        <v>1601</v>
      </c>
      <c r="Q1143" s="16">
        <v>8599</v>
      </c>
      <c r="R1143" s="17">
        <v>40</v>
      </c>
      <c r="S1143" s="18">
        <v>5933.3099999999995</v>
      </c>
      <c r="T1143" s="19" t="s">
        <v>36</v>
      </c>
      <c r="U1143" s="20" t="s">
        <v>602</v>
      </c>
      <c r="V1143" s="28">
        <v>41.5</v>
      </c>
      <c r="W1143" s="22">
        <v>1</v>
      </c>
      <c r="X1143" s="23"/>
    </row>
    <row r="1144" spans="1:24" s="1" customFormat="1" ht="17.100000000000001" customHeight="1" x14ac:dyDescent="0.3">
      <c r="A1144" s="24" t="s">
        <v>23</v>
      </c>
      <c r="B1144" s="24" t="s">
        <v>1061</v>
      </c>
      <c r="C1144" s="12" t="s">
        <v>1600</v>
      </c>
      <c r="D1144" s="54"/>
      <c r="E1144" s="39" t="str">
        <f t="shared" si="20"/>
        <v>Еще фото</v>
      </c>
      <c r="F1144" s="13" t="s">
        <v>98</v>
      </c>
      <c r="G1144" s="24" t="s">
        <v>808</v>
      </c>
      <c r="H1144" s="24" t="s">
        <v>593</v>
      </c>
      <c r="I1144" s="24" t="s">
        <v>809</v>
      </c>
      <c r="J1144" s="14" t="s">
        <v>29</v>
      </c>
      <c r="K1144" s="15" t="s">
        <v>30</v>
      </c>
      <c r="L1144" s="57"/>
      <c r="M1144" s="14"/>
      <c r="N1144" s="14" t="s">
        <v>91</v>
      </c>
      <c r="O1144" s="14"/>
      <c r="P1144" s="15" t="s">
        <v>1601</v>
      </c>
      <c r="Q1144" s="16">
        <v>8599</v>
      </c>
      <c r="R1144" s="17">
        <v>40</v>
      </c>
      <c r="S1144" s="18">
        <v>5933.3099999999995</v>
      </c>
      <c r="T1144" s="19" t="s">
        <v>36</v>
      </c>
      <c r="U1144" s="20" t="s">
        <v>603</v>
      </c>
      <c r="V1144" s="22">
        <v>42</v>
      </c>
      <c r="W1144" s="22">
        <v>2</v>
      </c>
      <c r="X1144" s="23"/>
    </row>
    <row r="1145" spans="1:24" s="1" customFormat="1" ht="17.100000000000001" customHeight="1" x14ac:dyDescent="0.3">
      <c r="A1145" s="24" t="s">
        <v>23</v>
      </c>
      <c r="B1145" s="24" t="s">
        <v>1061</v>
      </c>
      <c r="C1145" s="12" t="s">
        <v>1600</v>
      </c>
      <c r="D1145" s="54"/>
      <c r="E1145" s="39" t="str">
        <f t="shared" si="20"/>
        <v>Еще фото</v>
      </c>
      <c r="F1145" s="13" t="s">
        <v>98</v>
      </c>
      <c r="G1145" s="24" t="s">
        <v>808</v>
      </c>
      <c r="H1145" s="24" t="s">
        <v>593</v>
      </c>
      <c r="I1145" s="24" t="s">
        <v>809</v>
      </c>
      <c r="J1145" s="14" t="s">
        <v>29</v>
      </c>
      <c r="K1145" s="15" t="s">
        <v>30</v>
      </c>
      <c r="L1145" s="57"/>
      <c r="M1145" s="14"/>
      <c r="N1145" s="14" t="s">
        <v>91</v>
      </c>
      <c r="O1145" s="14"/>
      <c r="P1145" s="15" t="s">
        <v>1601</v>
      </c>
      <c r="Q1145" s="16">
        <v>8599</v>
      </c>
      <c r="R1145" s="17">
        <v>40</v>
      </c>
      <c r="S1145" s="18">
        <v>5933.3099999999995</v>
      </c>
      <c r="T1145" s="19" t="s">
        <v>36</v>
      </c>
      <c r="U1145" s="20" t="s">
        <v>604</v>
      </c>
      <c r="V1145" s="22">
        <v>43</v>
      </c>
      <c r="W1145" s="22">
        <v>1</v>
      </c>
      <c r="X1145" s="23"/>
    </row>
    <row r="1146" spans="1:24" s="1" customFormat="1" ht="17.100000000000001" customHeight="1" x14ac:dyDescent="0.3">
      <c r="A1146" s="24" t="s">
        <v>23</v>
      </c>
      <c r="B1146" s="24" t="s">
        <v>1061</v>
      </c>
      <c r="C1146" s="12" t="s">
        <v>1600</v>
      </c>
      <c r="D1146" s="54"/>
      <c r="E1146" s="39" t="str">
        <f t="shared" si="20"/>
        <v>Еще фото</v>
      </c>
      <c r="F1146" s="13" t="s">
        <v>98</v>
      </c>
      <c r="G1146" s="24" t="s">
        <v>808</v>
      </c>
      <c r="H1146" s="24" t="s">
        <v>593</v>
      </c>
      <c r="I1146" s="24" t="s">
        <v>809</v>
      </c>
      <c r="J1146" s="14" t="s">
        <v>29</v>
      </c>
      <c r="K1146" s="15" t="s">
        <v>30</v>
      </c>
      <c r="L1146" s="57"/>
      <c r="M1146" s="14"/>
      <c r="N1146" s="14" t="s">
        <v>91</v>
      </c>
      <c r="O1146" s="14"/>
      <c r="P1146" s="15" t="s">
        <v>1601</v>
      </c>
      <c r="Q1146" s="16">
        <v>8599</v>
      </c>
      <c r="R1146" s="17">
        <v>40</v>
      </c>
      <c r="S1146" s="18">
        <v>5933.3099999999995</v>
      </c>
      <c r="T1146" s="19" t="s">
        <v>36</v>
      </c>
      <c r="U1146" s="20" t="s">
        <v>605</v>
      </c>
      <c r="V1146" s="28">
        <v>43.5</v>
      </c>
      <c r="W1146" s="22">
        <v>1</v>
      </c>
      <c r="X1146" s="23"/>
    </row>
    <row r="1147" spans="1:24" s="1" customFormat="1" ht="17.100000000000001" customHeight="1" x14ac:dyDescent="0.3">
      <c r="A1147" s="24" t="s">
        <v>23</v>
      </c>
      <c r="B1147" s="24" t="s">
        <v>1061</v>
      </c>
      <c r="C1147" s="12" t="s">
        <v>1600</v>
      </c>
      <c r="D1147" s="54"/>
      <c r="E1147" s="39" t="str">
        <f t="shared" si="20"/>
        <v>Еще фото</v>
      </c>
      <c r="F1147" s="13" t="s">
        <v>98</v>
      </c>
      <c r="G1147" s="24" t="s">
        <v>808</v>
      </c>
      <c r="H1147" s="24" t="s">
        <v>593</v>
      </c>
      <c r="I1147" s="24" t="s">
        <v>809</v>
      </c>
      <c r="J1147" s="14" t="s">
        <v>29</v>
      </c>
      <c r="K1147" s="15" t="s">
        <v>30</v>
      </c>
      <c r="L1147" s="57"/>
      <c r="M1147" s="14"/>
      <c r="N1147" s="14" t="s">
        <v>91</v>
      </c>
      <c r="O1147" s="14"/>
      <c r="P1147" s="15" t="s">
        <v>1601</v>
      </c>
      <c r="Q1147" s="16">
        <v>8599</v>
      </c>
      <c r="R1147" s="17">
        <v>40</v>
      </c>
      <c r="S1147" s="18">
        <v>5933.3099999999995</v>
      </c>
      <c r="T1147" s="19" t="s">
        <v>36</v>
      </c>
      <c r="U1147" s="20" t="s">
        <v>606</v>
      </c>
      <c r="V1147" s="22">
        <v>44</v>
      </c>
      <c r="W1147" s="22">
        <v>1</v>
      </c>
      <c r="X1147" s="23"/>
    </row>
    <row r="1148" spans="1:24" s="1" customFormat="1" ht="21.95" customHeight="1" x14ac:dyDescent="0.3">
      <c r="A1148" s="24" t="s">
        <v>23</v>
      </c>
      <c r="B1148" s="24" t="s">
        <v>1061</v>
      </c>
      <c r="C1148" s="12" t="s">
        <v>1600</v>
      </c>
      <c r="D1148" s="55"/>
      <c r="E1148" s="39" t="str">
        <f t="shared" si="20"/>
        <v>Еще фото</v>
      </c>
      <c r="F1148" s="13" t="s">
        <v>98</v>
      </c>
      <c r="G1148" s="24" t="s">
        <v>808</v>
      </c>
      <c r="H1148" s="24" t="s">
        <v>593</v>
      </c>
      <c r="I1148" s="24" t="s">
        <v>809</v>
      </c>
      <c r="J1148" s="14" t="s">
        <v>29</v>
      </c>
      <c r="K1148" s="15" t="s">
        <v>30</v>
      </c>
      <c r="L1148" s="58"/>
      <c r="M1148" s="14"/>
      <c r="N1148" s="14" t="s">
        <v>91</v>
      </c>
      <c r="O1148" s="14"/>
      <c r="P1148" s="15" t="s">
        <v>1601</v>
      </c>
      <c r="Q1148" s="16">
        <v>8599</v>
      </c>
      <c r="R1148" s="17">
        <v>40</v>
      </c>
      <c r="S1148" s="18">
        <v>5933.3099999999995</v>
      </c>
      <c r="T1148" s="19" t="s">
        <v>36</v>
      </c>
      <c r="U1148" s="20" t="s">
        <v>608</v>
      </c>
      <c r="V1148" s="22">
        <v>45</v>
      </c>
      <c r="W1148" s="22">
        <v>3</v>
      </c>
      <c r="X1148" s="23"/>
    </row>
    <row r="1149" spans="1:24" s="1" customFormat="1" ht="26.1" customHeight="1" x14ac:dyDescent="0.3">
      <c r="A1149" s="11" t="s">
        <v>23</v>
      </c>
      <c r="B1149" s="11" t="s">
        <v>1602</v>
      </c>
      <c r="C1149" s="12" t="s">
        <v>1603</v>
      </c>
      <c r="D1149" s="53"/>
      <c r="E1149" s="39" t="str">
        <f>HYPERLINK("https://www.google.ru/search?q=3026729-001&amp;newwindow=1&amp;tbm=isch","Еще фото")</f>
        <v>Еще фото</v>
      </c>
      <c r="F1149" s="13"/>
      <c r="G1149" s="11" t="s">
        <v>808</v>
      </c>
      <c r="H1149" s="11" t="s">
        <v>593</v>
      </c>
      <c r="I1149" s="14" t="s">
        <v>809</v>
      </c>
      <c r="J1149" s="14" t="s">
        <v>29</v>
      </c>
      <c r="K1149" s="15" t="s">
        <v>30</v>
      </c>
      <c r="L1149" s="56" t="s">
        <v>1381</v>
      </c>
      <c r="M1149" s="14" t="s">
        <v>824</v>
      </c>
      <c r="N1149" s="14" t="s">
        <v>33</v>
      </c>
      <c r="O1149" s="14"/>
      <c r="P1149" s="15" t="s">
        <v>1604</v>
      </c>
      <c r="Q1149" s="16">
        <v>24999</v>
      </c>
      <c r="R1149" s="17">
        <v>40</v>
      </c>
      <c r="S1149" s="18">
        <v>17249.309999999998</v>
      </c>
      <c r="T1149" s="19" t="s">
        <v>36</v>
      </c>
      <c r="U1149" s="20" t="s">
        <v>599</v>
      </c>
      <c r="V1149" s="28">
        <v>39.5</v>
      </c>
      <c r="W1149" s="22">
        <v>5</v>
      </c>
      <c r="X1149" s="23"/>
    </row>
    <row r="1150" spans="1:24" s="1" customFormat="1" ht="26.1" customHeight="1" x14ac:dyDescent="0.3">
      <c r="A1150" s="24" t="s">
        <v>23</v>
      </c>
      <c r="B1150" s="24" t="s">
        <v>1602</v>
      </c>
      <c r="C1150" s="12" t="s">
        <v>1603</v>
      </c>
      <c r="D1150" s="54"/>
      <c r="E1150" s="39" t="str">
        <f>HYPERLINK("https://www.google.ru/search?q=3026729-001&amp;newwindow=1&amp;tbm=isch","Еще фото")</f>
        <v>Еще фото</v>
      </c>
      <c r="F1150" s="13"/>
      <c r="G1150" s="24" t="s">
        <v>808</v>
      </c>
      <c r="H1150" s="24" t="s">
        <v>593</v>
      </c>
      <c r="I1150" s="24" t="s">
        <v>809</v>
      </c>
      <c r="J1150" s="14" t="s">
        <v>29</v>
      </c>
      <c r="K1150" s="15" t="s">
        <v>30</v>
      </c>
      <c r="L1150" s="57"/>
      <c r="M1150" s="14" t="s">
        <v>824</v>
      </c>
      <c r="N1150" s="14" t="s">
        <v>33</v>
      </c>
      <c r="O1150" s="14"/>
      <c r="P1150" s="15" t="s">
        <v>1604</v>
      </c>
      <c r="Q1150" s="16">
        <v>24999</v>
      </c>
      <c r="R1150" s="17">
        <v>40</v>
      </c>
      <c r="S1150" s="18">
        <v>17249.309999999998</v>
      </c>
      <c r="T1150" s="19" t="s">
        <v>36</v>
      </c>
      <c r="U1150" s="20" t="s">
        <v>600</v>
      </c>
      <c r="V1150" s="22">
        <v>40</v>
      </c>
      <c r="W1150" s="22">
        <v>1</v>
      </c>
      <c r="X1150" s="23"/>
    </row>
    <row r="1151" spans="1:24" s="1" customFormat="1" ht="26.1" customHeight="1" x14ac:dyDescent="0.3">
      <c r="A1151" s="24" t="s">
        <v>23</v>
      </c>
      <c r="B1151" s="24" t="s">
        <v>1602</v>
      </c>
      <c r="C1151" s="12" t="s">
        <v>1603</v>
      </c>
      <c r="D1151" s="54"/>
      <c r="E1151" s="39" t="str">
        <f>HYPERLINK("https://www.google.ru/search?q=3026729-001&amp;newwindow=1&amp;tbm=isch","Еще фото")</f>
        <v>Еще фото</v>
      </c>
      <c r="F1151" s="13"/>
      <c r="G1151" s="24" t="s">
        <v>808</v>
      </c>
      <c r="H1151" s="24" t="s">
        <v>593</v>
      </c>
      <c r="I1151" s="24" t="s">
        <v>809</v>
      </c>
      <c r="J1151" s="14" t="s">
        <v>29</v>
      </c>
      <c r="K1151" s="15" t="s">
        <v>30</v>
      </c>
      <c r="L1151" s="57"/>
      <c r="M1151" s="14" t="s">
        <v>824</v>
      </c>
      <c r="N1151" s="14" t="s">
        <v>33</v>
      </c>
      <c r="O1151" s="14"/>
      <c r="P1151" s="15" t="s">
        <v>1604</v>
      </c>
      <c r="Q1151" s="16">
        <v>24999</v>
      </c>
      <c r="R1151" s="17">
        <v>40</v>
      </c>
      <c r="S1151" s="18">
        <v>17249.309999999998</v>
      </c>
      <c r="T1151" s="19" t="s">
        <v>36</v>
      </c>
      <c r="U1151" s="20" t="s">
        <v>602</v>
      </c>
      <c r="V1151" s="28">
        <v>41.5</v>
      </c>
      <c r="W1151" s="22">
        <v>1</v>
      </c>
      <c r="X1151" s="23"/>
    </row>
    <row r="1152" spans="1:24" s="1" customFormat="1" ht="26.1" customHeight="1" x14ac:dyDescent="0.3">
      <c r="A1152" s="24" t="s">
        <v>23</v>
      </c>
      <c r="B1152" s="24" t="s">
        <v>1602</v>
      </c>
      <c r="C1152" s="12" t="s">
        <v>1603</v>
      </c>
      <c r="D1152" s="55"/>
      <c r="E1152" s="39" t="str">
        <f>HYPERLINK("https://www.google.ru/search?q=3026729-001&amp;newwindow=1&amp;tbm=isch","Еще фото")</f>
        <v>Еще фото</v>
      </c>
      <c r="F1152" s="13"/>
      <c r="G1152" s="24" t="s">
        <v>808</v>
      </c>
      <c r="H1152" s="24" t="s">
        <v>593</v>
      </c>
      <c r="I1152" s="24" t="s">
        <v>809</v>
      </c>
      <c r="J1152" s="14" t="s">
        <v>29</v>
      </c>
      <c r="K1152" s="15" t="s">
        <v>30</v>
      </c>
      <c r="L1152" s="58"/>
      <c r="M1152" s="14" t="s">
        <v>824</v>
      </c>
      <c r="N1152" s="14" t="s">
        <v>33</v>
      </c>
      <c r="O1152" s="14"/>
      <c r="P1152" s="15" t="s">
        <v>1604</v>
      </c>
      <c r="Q1152" s="16">
        <v>24999</v>
      </c>
      <c r="R1152" s="17">
        <v>40</v>
      </c>
      <c r="S1152" s="18">
        <v>17249.309999999998</v>
      </c>
      <c r="T1152" s="19" t="s">
        <v>36</v>
      </c>
      <c r="U1152" s="20" t="s">
        <v>604</v>
      </c>
      <c r="V1152" s="22">
        <v>43</v>
      </c>
      <c r="W1152" s="22">
        <v>1</v>
      </c>
      <c r="X1152" s="23"/>
    </row>
    <row r="1153" spans="1:24" s="1" customFormat="1" ht="26.1" customHeight="1" x14ac:dyDescent="0.3">
      <c r="A1153" s="11" t="s">
        <v>23</v>
      </c>
      <c r="B1153" s="11" t="s">
        <v>1605</v>
      </c>
      <c r="C1153" s="12" t="s">
        <v>1606</v>
      </c>
      <c r="D1153" s="53"/>
      <c r="E1153" s="39" t="str">
        <f>HYPERLINK("https://www.google.ru/search?q=3026729-601&amp;newwindow=1&amp;tbm=isch","Еще фото")</f>
        <v>Еще фото</v>
      </c>
      <c r="F1153" s="13"/>
      <c r="G1153" s="11" t="s">
        <v>808</v>
      </c>
      <c r="H1153" s="11" t="s">
        <v>593</v>
      </c>
      <c r="I1153" s="14" t="s">
        <v>809</v>
      </c>
      <c r="J1153" s="14" t="s">
        <v>29</v>
      </c>
      <c r="K1153" s="15" t="s">
        <v>30</v>
      </c>
      <c r="L1153" s="56" t="s">
        <v>1381</v>
      </c>
      <c r="M1153" s="14" t="s">
        <v>824</v>
      </c>
      <c r="N1153" s="14" t="s">
        <v>140</v>
      </c>
      <c r="O1153" s="14"/>
      <c r="P1153" s="15" t="s">
        <v>1607</v>
      </c>
      <c r="Q1153" s="16">
        <v>24899</v>
      </c>
      <c r="R1153" s="17">
        <v>40</v>
      </c>
      <c r="S1153" s="18">
        <v>17180.309999999998</v>
      </c>
      <c r="T1153" s="19" t="s">
        <v>36</v>
      </c>
      <c r="U1153" s="20" t="s">
        <v>601</v>
      </c>
      <c r="V1153" s="22">
        <v>41</v>
      </c>
      <c r="W1153" s="22">
        <v>1</v>
      </c>
      <c r="X1153" s="23"/>
    </row>
    <row r="1154" spans="1:24" s="1" customFormat="1" ht="26.1" customHeight="1" x14ac:dyDescent="0.3">
      <c r="A1154" s="24" t="s">
        <v>23</v>
      </c>
      <c r="B1154" s="24" t="s">
        <v>1605</v>
      </c>
      <c r="C1154" s="12" t="s">
        <v>1606</v>
      </c>
      <c r="D1154" s="54"/>
      <c r="E1154" s="39" t="str">
        <f>HYPERLINK("https://www.google.ru/search?q=3026729-601&amp;newwindow=1&amp;tbm=isch","Еще фото")</f>
        <v>Еще фото</v>
      </c>
      <c r="F1154" s="13"/>
      <c r="G1154" s="24" t="s">
        <v>808</v>
      </c>
      <c r="H1154" s="24" t="s">
        <v>593</v>
      </c>
      <c r="I1154" s="24" t="s">
        <v>809</v>
      </c>
      <c r="J1154" s="14" t="s">
        <v>29</v>
      </c>
      <c r="K1154" s="15" t="s">
        <v>30</v>
      </c>
      <c r="L1154" s="57"/>
      <c r="M1154" s="14" t="s">
        <v>824</v>
      </c>
      <c r="N1154" s="14" t="s">
        <v>140</v>
      </c>
      <c r="O1154" s="14"/>
      <c r="P1154" s="15" t="s">
        <v>1607</v>
      </c>
      <c r="Q1154" s="16">
        <v>24899</v>
      </c>
      <c r="R1154" s="17">
        <v>40</v>
      </c>
      <c r="S1154" s="18">
        <v>17180.309999999998</v>
      </c>
      <c r="T1154" s="19" t="s">
        <v>36</v>
      </c>
      <c r="U1154" s="20" t="s">
        <v>602</v>
      </c>
      <c r="V1154" s="28">
        <v>41.5</v>
      </c>
      <c r="W1154" s="22">
        <v>3</v>
      </c>
      <c r="X1154" s="23"/>
    </row>
    <row r="1155" spans="1:24" s="1" customFormat="1" ht="26.1" customHeight="1" x14ac:dyDescent="0.3">
      <c r="A1155" s="24" t="s">
        <v>23</v>
      </c>
      <c r="B1155" s="24" t="s">
        <v>1605</v>
      </c>
      <c r="C1155" s="12" t="s">
        <v>1606</v>
      </c>
      <c r="D1155" s="54"/>
      <c r="E1155" s="39" t="str">
        <f>HYPERLINK("https://www.google.ru/search?q=3026729-601&amp;newwindow=1&amp;tbm=isch","Еще фото")</f>
        <v>Еще фото</v>
      </c>
      <c r="F1155" s="13"/>
      <c r="G1155" s="24" t="s">
        <v>808</v>
      </c>
      <c r="H1155" s="24" t="s">
        <v>593</v>
      </c>
      <c r="I1155" s="24" t="s">
        <v>809</v>
      </c>
      <c r="J1155" s="14" t="s">
        <v>29</v>
      </c>
      <c r="K1155" s="15" t="s">
        <v>30</v>
      </c>
      <c r="L1155" s="57"/>
      <c r="M1155" s="14" t="s">
        <v>824</v>
      </c>
      <c r="N1155" s="14" t="s">
        <v>140</v>
      </c>
      <c r="O1155" s="14"/>
      <c r="P1155" s="15" t="s">
        <v>1607</v>
      </c>
      <c r="Q1155" s="16">
        <v>24899</v>
      </c>
      <c r="R1155" s="17">
        <v>40</v>
      </c>
      <c r="S1155" s="18">
        <v>17180.309999999998</v>
      </c>
      <c r="T1155" s="19" t="s">
        <v>36</v>
      </c>
      <c r="U1155" s="20" t="s">
        <v>603</v>
      </c>
      <c r="V1155" s="22">
        <v>42</v>
      </c>
      <c r="W1155" s="22">
        <v>1</v>
      </c>
      <c r="X1155" s="23"/>
    </row>
    <row r="1156" spans="1:24" s="1" customFormat="1" ht="26.1" customHeight="1" x14ac:dyDescent="0.3">
      <c r="A1156" s="24" t="s">
        <v>23</v>
      </c>
      <c r="B1156" s="24" t="s">
        <v>1605</v>
      </c>
      <c r="C1156" s="12" t="s">
        <v>1606</v>
      </c>
      <c r="D1156" s="55"/>
      <c r="E1156" s="39" t="str">
        <f>HYPERLINK("https://www.google.ru/search?q=3026729-601&amp;newwindow=1&amp;tbm=isch","Еще фото")</f>
        <v>Еще фото</v>
      </c>
      <c r="F1156" s="13"/>
      <c r="G1156" s="24" t="s">
        <v>808</v>
      </c>
      <c r="H1156" s="24" t="s">
        <v>593</v>
      </c>
      <c r="I1156" s="24" t="s">
        <v>809</v>
      </c>
      <c r="J1156" s="14" t="s">
        <v>29</v>
      </c>
      <c r="K1156" s="15" t="s">
        <v>30</v>
      </c>
      <c r="L1156" s="58"/>
      <c r="M1156" s="14" t="s">
        <v>824</v>
      </c>
      <c r="N1156" s="14" t="s">
        <v>140</v>
      </c>
      <c r="O1156" s="14"/>
      <c r="P1156" s="15" t="s">
        <v>1607</v>
      </c>
      <c r="Q1156" s="16">
        <v>24899</v>
      </c>
      <c r="R1156" s="17">
        <v>40</v>
      </c>
      <c r="S1156" s="18">
        <v>17180.309999999998</v>
      </c>
      <c r="T1156" s="19" t="s">
        <v>36</v>
      </c>
      <c r="U1156" s="20" t="s">
        <v>604</v>
      </c>
      <c r="V1156" s="22">
        <v>43</v>
      </c>
      <c r="W1156" s="22">
        <v>1</v>
      </c>
      <c r="X1156" s="23"/>
    </row>
    <row r="1157" spans="1:24" s="1" customFormat="1" ht="108" customHeight="1" x14ac:dyDescent="0.3">
      <c r="A1157" s="11" t="s">
        <v>23</v>
      </c>
      <c r="B1157" s="11" t="s">
        <v>1085</v>
      </c>
      <c r="C1157" s="12" t="s">
        <v>1608</v>
      </c>
      <c r="D1157" s="25"/>
      <c r="E1157" s="39" t="str">
        <f>HYPERLINK("https://www.google.ru/search?q=3026998-002&amp;newwindow=1&amp;tbm=isch","Еще фото")</f>
        <v>Еще фото</v>
      </c>
      <c r="F1157" s="13"/>
      <c r="G1157" s="11" t="s">
        <v>808</v>
      </c>
      <c r="H1157" s="11" t="s">
        <v>593</v>
      </c>
      <c r="I1157" s="14" t="s">
        <v>809</v>
      </c>
      <c r="J1157" s="14" t="s">
        <v>29</v>
      </c>
      <c r="K1157" s="15" t="s">
        <v>30</v>
      </c>
      <c r="L1157" s="14" t="s">
        <v>1184</v>
      </c>
      <c r="M1157" s="14"/>
      <c r="N1157" s="14" t="s">
        <v>33</v>
      </c>
      <c r="O1157" s="14"/>
      <c r="P1157" s="15" t="s">
        <v>1039</v>
      </c>
      <c r="Q1157" s="16">
        <v>11099</v>
      </c>
      <c r="R1157" s="17">
        <v>40</v>
      </c>
      <c r="S1157" s="18">
        <v>7658.3099999999986</v>
      </c>
      <c r="T1157" s="19" t="s">
        <v>36</v>
      </c>
      <c r="U1157" s="20" t="s">
        <v>601</v>
      </c>
      <c r="V1157" s="22">
        <v>41</v>
      </c>
      <c r="W1157" s="22">
        <v>1</v>
      </c>
      <c r="X1157" s="23"/>
    </row>
    <row r="1158" spans="1:24" s="1" customFormat="1" ht="51.95" customHeight="1" x14ac:dyDescent="0.3">
      <c r="A1158" s="11" t="s">
        <v>23</v>
      </c>
      <c r="B1158" s="11" t="s">
        <v>1127</v>
      </c>
      <c r="C1158" s="12" t="s">
        <v>1609</v>
      </c>
      <c r="D1158" s="59"/>
      <c r="E1158" s="39" t="str">
        <f>HYPERLINK("https://www.google.ru/search?q=3026999-105&amp;newwindow=1&amp;tbm=isch","Еще фото")</f>
        <v>Еще фото</v>
      </c>
      <c r="F1158" s="13" t="s">
        <v>98</v>
      </c>
      <c r="G1158" s="11" t="s">
        <v>808</v>
      </c>
      <c r="H1158" s="11" t="s">
        <v>593</v>
      </c>
      <c r="I1158" s="14" t="s">
        <v>809</v>
      </c>
      <c r="J1158" s="14" t="s">
        <v>29</v>
      </c>
      <c r="K1158" s="15" t="s">
        <v>30</v>
      </c>
      <c r="L1158" s="56" t="s">
        <v>1129</v>
      </c>
      <c r="M1158" s="14"/>
      <c r="N1158" s="14" t="s">
        <v>84</v>
      </c>
      <c r="O1158" s="14"/>
      <c r="P1158" s="15" t="s">
        <v>884</v>
      </c>
      <c r="Q1158" s="16">
        <v>8399</v>
      </c>
      <c r="R1158" s="17">
        <v>40</v>
      </c>
      <c r="S1158" s="18">
        <v>5795.3099999999995</v>
      </c>
      <c r="T1158" s="19" t="s">
        <v>36</v>
      </c>
      <c r="U1158" s="20" t="s">
        <v>598</v>
      </c>
      <c r="V1158" s="22">
        <v>39</v>
      </c>
      <c r="W1158" s="22">
        <v>1</v>
      </c>
      <c r="X1158" s="23"/>
    </row>
    <row r="1159" spans="1:24" s="1" customFormat="1" ht="60.95" customHeight="1" x14ac:dyDescent="0.3">
      <c r="A1159" s="24" t="s">
        <v>23</v>
      </c>
      <c r="B1159" s="24" t="s">
        <v>1127</v>
      </c>
      <c r="C1159" s="12" t="s">
        <v>1609</v>
      </c>
      <c r="D1159" s="60"/>
      <c r="E1159" s="39" t="str">
        <f>HYPERLINK("https://www.google.ru/search?q=3026999-105&amp;newwindow=1&amp;tbm=isch","Еще фото")</f>
        <v>Еще фото</v>
      </c>
      <c r="F1159" s="13" t="s">
        <v>98</v>
      </c>
      <c r="G1159" s="24" t="s">
        <v>808</v>
      </c>
      <c r="H1159" s="24" t="s">
        <v>593</v>
      </c>
      <c r="I1159" s="24" t="s">
        <v>809</v>
      </c>
      <c r="J1159" s="14" t="s">
        <v>29</v>
      </c>
      <c r="K1159" s="15" t="s">
        <v>30</v>
      </c>
      <c r="L1159" s="58"/>
      <c r="M1159" s="14"/>
      <c r="N1159" s="14" t="s">
        <v>84</v>
      </c>
      <c r="O1159" s="14"/>
      <c r="P1159" s="15" t="s">
        <v>884</v>
      </c>
      <c r="Q1159" s="16">
        <v>8399</v>
      </c>
      <c r="R1159" s="17">
        <v>40</v>
      </c>
      <c r="S1159" s="18">
        <v>5795.3099999999995</v>
      </c>
      <c r="T1159" s="19" t="s">
        <v>36</v>
      </c>
      <c r="U1159" s="20" t="s">
        <v>600</v>
      </c>
      <c r="V1159" s="22">
        <v>40</v>
      </c>
      <c r="W1159" s="22">
        <v>1</v>
      </c>
      <c r="X1159" s="23"/>
    </row>
    <row r="1160" spans="1:24" s="1" customFormat="1" ht="21" customHeight="1" x14ac:dyDescent="0.3">
      <c r="A1160" s="11" t="s">
        <v>23</v>
      </c>
      <c r="B1160" s="11" t="s">
        <v>1200</v>
      </c>
      <c r="C1160" s="26" t="s">
        <v>1610</v>
      </c>
      <c r="D1160" s="53"/>
      <c r="E1160" s="39" t="str">
        <f>HYPERLINK("https://www.google.ru/search?q=3027000-035&amp;newwindow=1&amp;tbm=isch","Еще фото")</f>
        <v>Еще фото</v>
      </c>
      <c r="F1160" s="13"/>
      <c r="G1160" s="11" t="s">
        <v>808</v>
      </c>
      <c r="H1160" s="11" t="s">
        <v>593</v>
      </c>
      <c r="I1160" s="14" t="s">
        <v>809</v>
      </c>
      <c r="J1160" s="14" t="s">
        <v>29</v>
      </c>
      <c r="K1160" s="15" t="s">
        <v>30</v>
      </c>
      <c r="L1160" s="56"/>
      <c r="M1160" s="14"/>
      <c r="N1160" s="14" t="s">
        <v>84</v>
      </c>
      <c r="O1160" s="14"/>
      <c r="P1160" s="15" t="s">
        <v>1204</v>
      </c>
      <c r="Q1160" s="16">
        <v>7899</v>
      </c>
      <c r="R1160" s="17">
        <v>40</v>
      </c>
      <c r="S1160" s="18">
        <v>5450.3099999999995</v>
      </c>
      <c r="T1160" s="19" t="s">
        <v>36</v>
      </c>
      <c r="U1160" s="20" t="s">
        <v>599</v>
      </c>
      <c r="V1160" s="28">
        <v>39.5</v>
      </c>
      <c r="W1160" s="22">
        <v>2</v>
      </c>
      <c r="X1160" s="23"/>
    </row>
    <row r="1161" spans="1:24" s="1" customFormat="1" ht="21" customHeight="1" x14ac:dyDescent="0.3">
      <c r="A1161" s="24" t="s">
        <v>23</v>
      </c>
      <c r="B1161" s="24" t="s">
        <v>1200</v>
      </c>
      <c r="C1161" s="27" t="s">
        <v>1610</v>
      </c>
      <c r="D1161" s="54"/>
      <c r="E1161" s="39" t="str">
        <f>HYPERLINK("https://www.google.ru/search?q=3027000-035&amp;newwindow=1&amp;tbm=isch","Еще фото")</f>
        <v>Еще фото</v>
      </c>
      <c r="F1161" s="13"/>
      <c r="G1161" s="24" t="s">
        <v>808</v>
      </c>
      <c r="H1161" s="24" t="s">
        <v>593</v>
      </c>
      <c r="I1161" s="24" t="s">
        <v>809</v>
      </c>
      <c r="J1161" s="14" t="s">
        <v>29</v>
      </c>
      <c r="K1161" s="15" t="s">
        <v>30</v>
      </c>
      <c r="L1161" s="57"/>
      <c r="M1161" s="14"/>
      <c r="N1161" s="14" t="s">
        <v>84</v>
      </c>
      <c r="O1161" s="14"/>
      <c r="P1161" s="15" t="s">
        <v>1204</v>
      </c>
      <c r="Q1161" s="16">
        <v>7899</v>
      </c>
      <c r="R1161" s="17">
        <v>40</v>
      </c>
      <c r="S1161" s="18">
        <v>5450.3099999999995</v>
      </c>
      <c r="T1161" s="19" t="s">
        <v>36</v>
      </c>
      <c r="U1161" s="20" t="s">
        <v>601</v>
      </c>
      <c r="V1161" s="22">
        <v>41</v>
      </c>
      <c r="W1161" s="22">
        <v>1</v>
      </c>
      <c r="X1161" s="23"/>
    </row>
    <row r="1162" spans="1:24" s="1" customFormat="1" ht="21" customHeight="1" x14ac:dyDescent="0.3">
      <c r="A1162" s="24" t="s">
        <v>23</v>
      </c>
      <c r="B1162" s="24" t="s">
        <v>1200</v>
      </c>
      <c r="C1162" s="27" t="s">
        <v>1610</v>
      </c>
      <c r="D1162" s="54"/>
      <c r="E1162" s="39" t="str">
        <f>HYPERLINK("https://www.google.ru/search?q=3027000-035&amp;newwindow=1&amp;tbm=isch","Еще фото")</f>
        <v>Еще фото</v>
      </c>
      <c r="F1162" s="13"/>
      <c r="G1162" s="24" t="s">
        <v>808</v>
      </c>
      <c r="H1162" s="24" t="s">
        <v>593</v>
      </c>
      <c r="I1162" s="24" t="s">
        <v>809</v>
      </c>
      <c r="J1162" s="14" t="s">
        <v>29</v>
      </c>
      <c r="K1162" s="15" t="s">
        <v>30</v>
      </c>
      <c r="L1162" s="57"/>
      <c r="M1162" s="14"/>
      <c r="N1162" s="14" t="s">
        <v>84</v>
      </c>
      <c r="O1162" s="14"/>
      <c r="P1162" s="15" t="s">
        <v>1204</v>
      </c>
      <c r="Q1162" s="16">
        <v>7899</v>
      </c>
      <c r="R1162" s="17">
        <v>40</v>
      </c>
      <c r="S1162" s="18">
        <v>5450.3099999999995</v>
      </c>
      <c r="T1162" s="19" t="s">
        <v>36</v>
      </c>
      <c r="U1162" s="20" t="s">
        <v>602</v>
      </c>
      <c r="V1162" s="28">
        <v>41.5</v>
      </c>
      <c r="W1162" s="22">
        <v>1</v>
      </c>
      <c r="X1162" s="23"/>
    </row>
    <row r="1163" spans="1:24" s="1" customFormat="1" ht="21" customHeight="1" x14ac:dyDescent="0.3">
      <c r="A1163" s="24" t="s">
        <v>23</v>
      </c>
      <c r="B1163" s="24" t="s">
        <v>1200</v>
      </c>
      <c r="C1163" s="27" t="s">
        <v>1610</v>
      </c>
      <c r="D1163" s="54"/>
      <c r="E1163" s="39" t="str">
        <f>HYPERLINK("https://www.google.ru/search?q=3027000-035&amp;newwindow=1&amp;tbm=isch","Еще фото")</f>
        <v>Еще фото</v>
      </c>
      <c r="F1163" s="13"/>
      <c r="G1163" s="24" t="s">
        <v>808</v>
      </c>
      <c r="H1163" s="24" t="s">
        <v>593</v>
      </c>
      <c r="I1163" s="24" t="s">
        <v>809</v>
      </c>
      <c r="J1163" s="14" t="s">
        <v>29</v>
      </c>
      <c r="K1163" s="15" t="s">
        <v>30</v>
      </c>
      <c r="L1163" s="57"/>
      <c r="M1163" s="14"/>
      <c r="N1163" s="14" t="s">
        <v>84</v>
      </c>
      <c r="O1163" s="14"/>
      <c r="P1163" s="15" t="s">
        <v>1204</v>
      </c>
      <c r="Q1163" s="16">
        <v>7899</v>
      </c>
      <c r="R1163" s="17">
        <v>40</v>
      </c>
      <c r="S1163" s="18">
        <v>5450.3099999999995</v>
      </c>
      <c r="T1163" s="19" t="s">
        <v>36</v>
      </c>
      <c r="U1163" s="20" t="s">
        <v>604</v>
      </c>
      <c r="V1163" s="22">
        <v>43</v>
      </c>
      <c r="W1163" s="22">
        <v>2</v>
      </c>
      <c r="X1163" s="23"/>
    </row>
    <row r="1164" spans="1:24" s="1" customFormat="1" ht="32.1" customHeight="1" x14ac:dyDescent="0.3">
      <c r="A1164" s="24" t="s">
        <v>23</v>
      </c>
      <c r="B1164" s="24" t="s">
        <v>1200</v>
      </c>
      <c r="C1164" s="27" t="s">
        <v>1610</v>
      </c>
      <c r="D1164" s="55"/>
      <c r="E1164" s="39" t="str">
        <f>HYPERLINK("https://www.google.ru/search?q=3027000-035&amp;newwindow=1&amp;tbm=isch","Еще фото")</f>
        <v>Еще фото</v>
      </c>
      <c r="F1164" s="13"/>
      <c r="G1164" s="24" t="s">
        <v>808</v>
      </c>
      <c r="H1164" s="24" t="s">
        <v>593</v>
      </c>
      <c r="I1164" s="24" t="s">
        <v>809</v>
      </c>
      <c r="J1164" s="14" t="s">
        <v>29</v>
      </c>
      <c r="K1164" s="15" t="s">
        <v>30</v>
      </c>
      <c r="L1164" s="58"/>
      <c r="M1164" s="14"/>
      <c r="N1164" s="14" t="s">
        <v>84</v>
      </c>
      <c r="O1164" s="14"/>
      <c r="P1164" s="15" t="s">
        <v>1204</v>
      </c>
      <c r="Q1164" s="16">
        <v>7899</v>
      </c>
      <c r="R1164" s="17">
        <v>40</v>
      </c>
      <c r="S1164" s="18">
        <v>5450.3099999999995</v>
      </c>
      <c r="T1164" s="19" t="s">
        <v>36</v>
      </c>
      <c r="U1164" s="20" t="s">
        <v>606</v>
      </c>
      <c r="V1164" s="22">
        <v>44</v>
      </c>
      <c r="W1164" s="22">
        <v>2</v>
      </c>
      <c r="X1164" s="23"/>
    </row>
    <row r="1165" spans="1:24" s="1" customFormat="1" ht="108" customHeight="1" x14ac:dyDescent="0.3">
      <c r="A1165" s="11" t="s">
        <v>23</v>
      </c>
      <c r="B1165" s="11" t="s">
        <v>1200</v>
      </c>
      <c r="C1165" s="12" t="s">
        <v>1611</v>
      </c>
      <c r="D1165" s="25"/>
      <c r="E1165" s="39" t="str">
        <f>HYPERLINK("https://www.google.ru/search?q=3027000-100&amp;newwindow=1&amp;tbm=isch","Еще фото")</f>
        <v>Еще фото</v>
      </c>
      <c r="F1165" s="13" t="s">
        <v>98</v>
      </c>
      <c r="G1165" s="11" t="s">
        <v>808</v>
      </c>
      <c r="H1165" s="11" t="s">
        <v>593</v>
      </c>
      <c r="I1165" s="14" t="s">
        <v>809</v>
      </c>
      <c r="J1165" s="14" t="s">
        <v>29</v>
      </c>
      <c r="K1165" s="15" t="s">
        <v>30</v>
      </c>
      <c r="L1165" s="14" t="s">
        <v>1202</v>
      </c>
      <c r="M1165" s="14"/>
      <c r="N1165" s="14" t="s">
        <v>1612</v>
      </c>
      <c r="O1165" s="14"/>
      <c r="P1165" s="15" t="s">
        <v>919</v>
      </c>
      <c r="Q1165" s="16">
        <v>7899</v>
      </c>
      <c r="R1165" s="17">
        <v>40</v>
      </c>
      <c r="S1165" s="18">
        <v>5450.3099999999995</v>
      </c>
      <c r="T1165" s="19" t="s">
        <v>36</v>
      </c>
      <c r="U1165" s="20" t="s">
        <v>599</v>
      </c>
      <c r="V1165" s="28">
        <v>39.5</v>
      </c>
      <c r="W1165" s="22">
        <v>1</v>
      </c>
      <c r="X1165" s="23"/>
    </row>
    <row r="1166" spans="1:24" s="1" customFormat="1" ht="108" customHeight="1" x14ac:dyDescent="0.3">
      <c r="A1166" s="11" t="s">
        <v>23</v>
      </c>
      <c r="B1166" s="11" t="s">
        <v>1200</v>
      </c>
      <c r="C1166" s="12" t="s">
        <v>1613</v>
      </c>
      <c r="D1166" s="25"/>
      <c r="E1166" s="39" t="str">
        <f>HYPERLINK("https://www.google.ru/search?q=3027000-106&amp;newwindow=1&amp;tbm=isch","Еще фото")</f>
        <v>Еще фото</v>
      </c>
      <c r="F1166" s="13" t="s">
        <v>98</v>
      </c>
      <c r="G1166" s="11" t="s">
        <v>808</v>
      </c>
      <c r="H1166" s="11" t="s">
        <v>593</v>
      </c>
      <c r="I1166" s="14" t="s">
        <v>809</v>
      </c>
      <c r="J1166" s="14" t="s">
        <v>29</v>
      </c>
      <c r="K1166" s="15" t="s">
        <v>30</v>
      </c>
      <c r="L1166" s="14" t="s">
        <v>1202</v>
      </c>
      <c r="M1166" s="14"/>
      <c r="N1166" s="14" t="s">
        <v>1614</v>
      </c>
      <c r="O1166" s="14"/>
      <c r="P1166" s="15" t="s">
        <v>597</v>
      </c>
      <c r="Q1166" s="16">
        <v>7899</v>
      </c>
      <c r="R1166" s="17">
        <v>40</v>
      </c>
      <c r="S1166" s="18">
        <v>5450.3099999999995</v>
      </c>
      <c r="T1166" s="19" t="s">
        <v>36</v>
      </c>
      <c r="U1166" s="20" t="s">
        <v>605</v>
      </c>
      <c r="V1166" s="28">
        <v>43.5</v>
      </c>
      <c r="W1166" s="22">
        <v>1</v>
      </c>
      <c r="X1166" s="23"/>
    </row>
    <row r="1167" spans="1:24" s="1" customFormat="1" ht="26.1" customHeight="1" x14ac:dyDescent="0.3">
      <c r="A1167" s="11" t="s">
        <v>23</v>
      </c>
      <c r="B1167" s="11" t="s">
        <v>881</v>
      </c>
      <c r="C1167" s="12" t="s">
        <v>1615</v>
      </c>
      <c r="D1167" s="53"/>
      <c r="E1167" s="39" t="str">
        <f>HYPERLINK("https://www.google.ru/search?q=3027006-673&amp;newwindow=1&amp;tbm=isch","Еще фото")</f>
        <v>Еще фото</v>
      </c>
      <c r="F1167" s="13" t="s">
        <v>98</v>
      </c>
      <c r="G1167" s="11" t="s">
        <v>808</v>
      </c>
      <c r="H1167" s="11" t="s">
        <v>593</v>
      </c>
      <c r="I1167" s="14" t="s">
        <v>809</v>
      </c>
      <c r="J1167" s="14" t="s">
        <v>29</v>
      </c>
      <c r="K1167" s="15" t="s">
        <v>64</v>
      </c>
      <c r="L1167" s="56" t="s">
        <v>883</v>
      </c>
      <c r="M1167" s="14"/>
      <c r="N1167" s="14" t="s">
        <v>57</v>
      </c>
      <c r="O1167" s="14"/>
      <c r="P1167" s="15" t="s">
        <v>1616</v>
      </c>
      <c r="Q1167" s="16">
        <v>8399</v>
      </c>
      <c r="R1167" s="17">
        <v>40</v>
      </c>
      <c r="S1167" s="18">
        <v>5795.3099999999995</v>
      </c>
      <c r="T1167" s="19" t="s">
        <v>36</v>
      </c>
      <c r="U1167" s="20" t="s">
        <v>820</v>
      </c>
      <c r="V1167" s="22">
        <v>36</v>
      </c>
      <c r="W1167" s="22">
        <v>1</v>
      </c>
      <c r="X1167" s="23"/>
    </row>
    <row r="1168" spans="1:24" s="1" customFormat="1" ht="26.1" customHeight="1" x14ac:dyDescent="0.3">
      <c r="A1168" s="24" t="s">
        <v>23</v>
      </c>
      <c r="B1168" s="24" t="s">
        <v>881</v>
      </c>
      <c r="C1168" s="12" t="s">
        <v>1615</v>
      </c>
      <c r="D1168" s="54"/>
      <c r="E1168" s="39" t="str">
        <f>HYPERLINK("https://www.google.ru/search?q=3027006-673&amp;newwindow=1&amp;tbm=isch","Еще фото")</f>
        <v>Еще фото</v>
      </c>
      <c r="F1168" s="13" t="s">
        <v>98</v>
      </c>
      <c r="G1168" s="24" t="s">
        <v>808</v>
      </c>
      <c r="H1168" s="24" t="s">
        <v>593</v>
      </c>
      <c r="I1168" s="24" t="s">
        <v>809</v>
      </c>
      <c r="J1168" s="14" t="s">
        <v>29</v>
      </c>
      <c r="K1168" s="15" t="s">
        <v>64</v>
      </c>
      <c r="L1168" s="57"/>
      <c r="M1168" s="14"/>
      <c r="N1168" s="14" t="s">
        <v>57</v>
      </c>
      <c r="O1168" s="14"/>
      <c r="P1168" s="15" t="s">
        <v>1616</v>
      </c>
      <c r="Q1168" s="16">
        <v>8399</v>
      </c>
      <c r="R1168" s="17">
        <v>40</v>
      </c>
      <c r="S1168" s="18">
        <v>5795.3099999999995</v>
      </c>
      <c r="T1168" s="19" t="s">
        <v>36</v>
      </c>
      <c r="U1168" s="20" t="s">
        <v>814</v>
      </c>
      <c r="V1168" s="28">
        <v>36.5</v>
      </c>
      <c r="W1168" s="22">
        <v>10</v>
      </c>
      <c r="X1168" s="23"/>
    </row>
    <row r="1169" spans="1:24" s="1" customFormat="1" ht="26.1" customHeight="1" x14ac:dyDescent="0.3">
      <c r="A1169" s="24" t="s">
        <v>23</v>
      </c>
      <c r="B1169" s="24" t="s">
        <v>881</v>
      </c>
      <c r="C1169" s="12" t="s">
        <v>1615</v>
      </c>
      <c r="D1169" s="54"/>
      <c r="E1169" s="39" t="str">
        <f>HYPERLINK("https://www.google.ru/search?q=3027006-673&amp;newwindow=1&amp;tbm=isch","Еще фото")</f>
        <v>Еще фото</v>
      </c>
      <c r="F1169" s="13" t="s">
        <v>98</v>
      </c>
      <c r="G1169" s="24" t="s">
        <v>808</v>
      </c>
      <c r="H1169" s="24" t="s">
        <v>593</v>
      </c>
      <c r="I1169" s="24" t="s">
        <v>809</v>
      </c>
      <c r="J1169" s="14" t="s">
        <v>29</v>
      </c>
      <c r="K1169" s="15" t="s">
        <v>64</v>
      </c>
      <c r="L1169" s="57"/>
      <c r="M1169" s="14"/>
      <c r="N1169" s="14" t="s">
        <v>57</v>
      </c>
      <c r="O1169" s="14"/>
      <c r="P1169" s="15" t="s">
        <v>1616</v>
      </c>
      <c r="Q1169" s="16">
        <v>8399</v>
      </c>
      <c r="R1169" s="17">
        <v>40</v>
      </c>
      <c r="S1169" s="18">
        <v>5795.3099999999995</v>
      </c>
      <c r="T1169" s="19" t="s">
        <v>36</v>
      </c>
      <c r="U1169" s="20" t="s">
        <v>598</v>
      </c>
      <c r="V1169" s="22">
        <v>37</v>
      </c>
      <c r="W1169" s="22">
        <v>16</v>
      </c>
      <c r="X1169" s="23"/>
    </row>
    <row r="1170" spans="1:24" s="1" customFormat="1" ht="26.1" customHeight="1" x14ac:dyDescent="0.3">
      <c r="A1170" s="24" t="s">
        <v>23</v>
      </c>
      <c r="B1170" s="24" t="s">
        <v>881</v>
      </c>
      <c r="C1170" s="12" t="s">
        <v>1615</v>
      </c>
      <c r="D1170" s="55"/>
      <c r="E1170" s="39" t="str">
        <f>HYPERLINK("https://www.google.ru/search?q=3027006-673&amp;newwindow=1&amp;tbm=isch","Еще фото")</f>
        <v>Еще фото</v>
      </c>
      <c r="F1170" s="13" t="s">
        <v>98</v>
      </c>
      <c r="G1170" s="24" t="s">
        <v>808</v>
      </c>
      <c r="H1170" s="24" t="s">
        <v>593</v>
      </c>
      <c r="I1170" s="24" t="s">
        <v>809</v>
      </c>
      <c r="J1170" s="14" t="s">
        <v>29</v>
      </c>
      <c r="K1170" s="15" t="s">
        <v>64</v>
      </c>
      <c r="L1170" s="58"/>
      <c r="M1170" s="14"/>
      <c r="N1170" s="14" t="s">
        <v>57</v>
      </c>
      <c r="O1170" s="14"/>
      <c r="P1170" s="15" t="s">
        <v>1616</v>
      </c>
      <c r="Q1170" s="16">
        <v>8399</v>
      </c>
      <c r="R1170" s="17">
        <v>40</v>
      </c>
      <c r="S1170" s="18">
        <v>5795.3099999999995</v>
      </c>
      <c r="T1170" s="19" t="s">
        <v>36</v>
      </c>
      <c r="U1170" s="20" t="s">
        <v>600</v>
      </c>
      <c r="V1170" s="22">
        <v>38</v>
      </c>
      <c r="W1170" s="22">
        <v>1</v>
      </c>
      <c r="X1170" s="23"/>
    </row>
    <row r="1171" spans="1:24" s="1" customFormat="1" ht="21" customHeight="1" x14ac:dyDescent="0.3">
      <c r="A1171" s="11" t="s">
        <v>23</v>
      </c>
      <c r="B1171" s="11" t="s">
        <v>1287</v>
      </c>
      <c r="C1171" s="26" t="s">
        <v>1617</v>
      </c>
      <c r="D1171" s="53"/>
      <c r="E1171" s="39" t="str">
        <f>HYPERLINK("https://www.google.ru/search?q=3027007-001&amp;newwindow=1&amp;tbm=isch","Еще фото")</f>
        <v>Еще фото</v>
      </c>
      <c r="F1171" s="13" t="s">
        <v>98</v>
      </c>
      <c r="G1171" s="11" t="s">
        <v>808</v>
      </c>
      <c r="H1171" s="11" t="s">
        <v>593</v>
      </c>
      <c r="I1171" s="14" t="s">
        <v>809</v>
      </c>
      <c r="J1171" s="14" t="s">
        <v>29</v>
      </c>
      <c r="K1171" s="15" t="s">
        <v>64</v>
      </c>
      <c r="L1171" s="56" t="s">
        <v>1618</v>
      </c>
      <c r="M1171" s="14" t="s">
        <v>959</v>
      </c>
      <c r="N1171" s="14" t="s">
        <v>33</v>
      </c>
      <c r="O1171" s="14"/>
      <c r="P1171" s="15" t="s">
        <v>597</v>
      </c>
      <c r="Q1171" s="16">
        <v>7899</v>
      </c>
      <c r="R1171" s="17">
        <v>40</v>
      </c>
      <c r="S1171" s="18">
        <v>5450.3099999999995</v>
      </c>
      <c r="T1171" s="19" t="s">
        <v>36</v>
      </c>
      <c r="U1171" s="20" t="s">
        <v>820</v>
      </c>
      <c r="V1171" s="22">
        <v>36</v>
      </c>
      <c r="W1171" s="22">
        <v>17</v>
      </c>
      <c r="X1171" s="23"/>
    </row>
    <row r="1172" spans="1:24" s="1" customFormat="1" ht="21" customHeight="1" x14ac:dyDescent="0.3">
      <c r="A1172" s="24" t="s">
        <v>23</v>
      </c>
      <c r="B1172" s="24" t="s">
        <v>1287</v>
      </c>
      <c r="C1172" s="27" t="s">
        <v>1617</v>
      </c>
      <c r="D1172" s="54"/>
      <c r="E1172" s="39" t="str">
        <f>HYPERLINK("https://www.google.ru/search?q=3027007-001&amp;newwindow=1&amp;tbm=isch","Еще фото")</f>
        <v>Еще фото</v>
      </c>
      <c r="F1172" s="13" t="s">
        <v>98</v>
      </c>
      <c r="G1172" s="24" t="s">
        <v>808</v>
      </c>
      <c r="H1172" s="24" t="s">
        <v>593</v>
      </c>
      <c r="I1172" s="24" t="s">
        <v>809</v>
      </c>
      <c r="J1172" s="14" t="s">
        <v>29</v>
      </c>
      <c r="K1172" s="15" t="s">
        <v>64</v>
      </c>
      <c r="L1172" s="57"/>
      <c r="M1172" s="14" t="s">
        <v>959</v>
      </c>
      <c r="N1172" s="14" t="s">
        <v>33</v>
      </c>
      <c r="O1172" s="14"/>
      <c r="P1172" s="15" t="s">
        <v>597</v>
      </c>
      <c r="Q1172" s="16">
        <v>7899</v>
      </c>
      <c r="R1172" s="17">
        <v>40</v>
      </c>
      <c r="S1172" s="18">
        <v>5450.3099999999995</v>
      </c>
      <c r="T1172" s="19" t="s">
        <v>36</v>
      </c>
      <c r="U1172" s="20" t="s">
        <v>814</v>
      </c>
      <c r="V1172" s="28">
        <v>36.5</v>
      </c>
      <c r="W1172" s="22">
        <v>30</v>
      </c>
      <c r="X1172" s="23"/>
    </row>
    <row r="1173" spans="1:24" s="1" customFormat="1" ht="21" customHeight="1" x14ac:dyDescent="0.3">
      <c r="A1173" s="24" t="s">
        <v>23</v>
      </c>
      <c r="B1173" s="24" t="s">
        <v>1287</v>
      </c>
      <c r="C1173" s="27" t="s">
        <v>1617</v>
      </c>
      <c r="D1173" s="54"/>
      <c r="E1173" s="39" t="str">
        <f>HYPERLINK("https://www.google.ru/search?q=3027007-001&amp;newwindow=1&amp;tbm=isch","Еще фото")</f>
        <v>Еще фото</v>
      </c>
      <c r="F1173" s="13" t="s">
        <v>98</v>
      </c>
      <c r="G1173" s="24" t="s">
        <v>808</v>
      </c>
      <c r="H1173" s="24" t="s">
        <v>593</v>
      </c>
      <c r="I1173" s="24" t="s">
        <v>809</v>
      </c>
      <c r="J1173" s="14" t="s">
        <v>29</v>
      </c>
      <c r="K1173" s="15" t="s">
        <v>64</v>
      </c>
      <c r="L1173" s="57"/>
      <c r="M1173" s="14" t="s">
        <v>959</v>
      </c>
      <c r="N1173" s="14" t="s">
        <v>33</v>
      </c>
      <c r="O1173" s="14"/>
      <c r="P1173" s="15" t="s">
        <v>597</v>
      </c>
      <c r="Q1173" s="16">
        <v>7899</v>
      </c>
      <c r="R1173" s="17">
        <v>40</v>
      </c>
      <c r="S1173" s="18">
        <v>5450.3099999999995</v>
      </c>
      <c r="T1173" s="19" t="s">
        <v>36</v>
      </c>
      <c r="U1173" s="20" t="s">
        <v>598</v>
      </c>
      <c r="V1173" s="22">
        <v>37</v>
      </c>
      <c r="W1173" s="22">
        <v>30</v>
      </c>
      <c r="X1173" s="23"/>
    </row>
    <row r="1174" spans="1:24" s="1" customFormat="1" ht="21" customHeight="1" x14ac:dyDescent="0.3">
      <c r="A1174" s="24" t="s">
        <v>23</v>
      </c>
      <c r="B1174" s="24" t="s">
        <v>1287</v>
      </c>
      <c r="C1174" s="27" t="s">
        <v>1617</v>
      </c>
      <c r="D1174" s="54"/>
      <c r="E1174" s="39" t="str">
        <f>HYPERLINK("https://www.google.ru/search?q=3027007-001&amp;newwindow=1&amp;tbm=isch","Еще фото")</f>
        <v>Еще фото</v>
      </c>
      <c r="F1174" s="13" t="s">
        <v>98</v>
      </c>
      <c r="G1174" s="24" t="s">
        <v>808</v>
      </c>
      <c r="H1174" s="24" t="s">
        <v>593</v>
      </c>
      <c r="I1174" s="24" t="s">
        <v>809</v>
      </c>
      <c r="J1174" s="14" t="s">
        <v>29</v>
      </c>
      <c r="K1174" s="15" t="s">
        <v>64</v>
      </c>
      <c r="L1174" s="57"/>
      <c r="M1174" s="14" t="s">
        <v>959</v>
      </c>
      <c r="N1174" s="14" t="s">
        <v>33</v>
      </c>
      <c r="O1174" s="14"/>
      <c r="P1174" s="15" t="s">
        <v>597</v>
      </c>
      <c r="Q1174" s="16">
        <v>7899</v>
      </c>
      <c r="R1174" s="17">
        <v>40</v>
      </c>
      <c r="S1174" s="18">
        <v>5450.3099999999995</v>
      </c>
      <c r="T1174" s="19" t="s">
        <v>36</v>
      </c>
      <c r="U1174" s="20" t="s">
        <v>599</v>
      </c>
      <c r="V1174" s="28">
        <v>37.5</v>
      </c>
      <c r="W1174" s="22">
        <v>29</v>
      </c>
      <c r="X1174" s="23"/>
    </row>
    <row r="1175" spans="1:24" s="1" customFormat="1" ht="32.1" customHeight="1" x14ac:dyDescent="0.3">
      <c r="A1175" s="24" t="s">
        <v>23</v>
      </c>
      <c r="B1175" s="24" t="s">
        <v>1287</v>
      </c>
      <c r="C1175" s="27" t="s">
        <v>1617</v>
      </c>
      <c r="D1175" s="55"/>
      <c r="E1175" s="39" t="str">
        <f>HYPERLINK("https://www.google.ru/search?q=3027007-001&amp;newwindow=1&amp;tbm=isch","Еще фото")</f>
        <v>Еще фото</v>
      </c>
      <c r="F1175" s="13" t="s">
        <v>98</v>
      </c>
      <c r="G1175" s="24" t="s">
        <v>808</v>
      </c>
      <c r="H1175" s="24" t="s">
        <v>593</v>
      </c>
      <c r="I1175" s="24" t="s">
        <v>809</v>
      </c>
      <c r="J1175" s="14" t="s">
        <v>29</v>
      </c>
      <c r="K1175" s="15" t="s">
        <v>64</v>
      </c>
      <c r="L1175" s="58"/>
      <c r="M1175" s="14" t="s">
        <v>959</v>
      </c>
      <c r="N1175" s="14" t="s">
        <v>33</v>
      </c>
      <c r="O1175" s="14"/>
      <c r="P1175" s="15" t="s">
        <v>597</v>
      </c>
      <c r="Q1175" s="16">
        <v>7899</v>
      </c>
      <c r="R1175" s="17">
        <v>40</v>
      </c>
      <c r="S1175" s="18">
        <v>5450.3099999999995</v>
      </c>
      <c r="T1175" s="19" t="s">
        <v>36</v>
      </c>
      <c r="U1175" s="20" t="s">
        <v>600</v>
      </c>
      <c r="V1175" s="22">
        <v>38</v>
      </c>
      <c r="W1175" s="22">
        <v>3</v>
      </c>
      <c r="X1175" s="23"/>
    </row>
    <row r="1176" spans="1:24" s="1" customFormat="1" ht="26.1" customHeight="1" x14ac:dyDescent="0.3">
      <c r="A1176" s="11" t="s">
        <v>23</v>
      </c>
      <c r="B1176" s="11" t="s">
        <v>1287</v>
      </c>
      <c r="C1176" s="12" t="s">
        <v>1619</v>
      </c>
      <c r="D1176" s="53"/>
      <c r="E1176" s="39" t="str">
        <f>HYPERLINK("https://www.google.ru/search?q=3027007-002&amp;newwindow=1&amp;tbm=isch","Еще фото")</f>
        <v>Еще фото</v>
      </c>
      <c r="F1176" s="13"/>
      <c r="G1176" s="11" t="s">
        <v>808</v>
      </c>
      <c r="H1176" s="11" t="s">
        <v>593</v>
      </c>
      <c r="I1176" s="14" t="s">
        <v>809</v>
      </c>
      <c r="J1176" s="14" t="s">
        <v>29</v>
      </c>
      <c r="K1176" s="15" t="s">
        <v>64</v>
      </c>
      <c r="L1176" s="56" t="s">
        <v>1289</v>
      </c>
      <c r="M1176" s="14"/>
      <c r="N1176" s="14" t="s">
        <v>33</v>
      </c>
      <c r="O1176" s="14"/>
      <c r="P1176" s="15" t="s">
        <v>919</v>
      </c>
      <c r="Q1176" s="16">
        <v>7899</v>
      </c>
      <c r="R1176" s="17">
        <v>40</v>
      </c>
      <c r="S1176" s="18">
        <v>5450.3099999999995</v>
      </c>
      <c r="T1176" s="19" t="s">
        <v>36</v>
      </c>
      <c r="U1176" s="20" t="s">
        <v>820</v>
      </c>
      <c r="V1176" s="22">
        <v>36</v>
      </c>
      <c r="W1176" s="22">
        <v>5</v>
      </c>
      <c r="X1176" s="23"/>
    </row>
    <row r="1177" spans="1:24" s="1" customFormat="1" ht="26.1" customHeight="1" x14ac:dyDescent="0.3">
      <c r="A1177" s="24" t="s">
        <v>23</v>
      </c>
      <c r="B1177" s="24" t="s">
        <v>1287</v>
      </c>
      <c r="C1177" s="12" t="s">
        <v>1619</v>
      </c>
      <c r="D1177" s="54"/>
      <c r="E1177" s="39" t="str">
        <f>HYPERLINK("https://www.google.ru/search?q=3027007-002&amp;newwindow=1&amp;tbm=isch","Еще фото")</f>
        <v>Еще фото</v>
      </c>
      <c r="F1177" s="13"/>
      <c r="G1177" s="24" t="s">
        <v>808</v>
      </c>
      <c r="H1177" s="24" t="s">
        <v>593</v>
      </c>
      <c r="I1177" s="24" t="s">
        <v>809</v>
      </c>
      <c r="J1177" s="14" t="s">
        <v>29</v>
      </c>
      <c r="K1177" s="15" t="s">
        <v>64</v>
      </c>
      <c r="L1177" s="57"/>
      <c r="M1177" s="14"/>
      <c r="N1177" s="14" t="s">
        <v>33</v>
      </c>
      <c r="O1177" s="14"/>
      <c r="P1177" s="15" t="s">
        <v>919</v>
      </c>
      <c r="Q1177" s="16">
        <v>7899</v>
      </c>
      <c r="R1177" s="17">
        <v>40</v>
      </c>
      <c r="S1177" s="18">
        <v>5450.3099999999995</v>
      </c>
      <c r="T1177" s="19" t="s">
        <v>36</v>
      </c>
      <c r="U1177" s="20" t="s">
        <v>814</v>
      </c>
      <c r="V1177" s="28">
        <v>36.5</v>
      </c>
      <c r="W1177" s="22">
        <v>9</v>
      </c>
      <c r="X1177" s="23"/>
    </row>
    <row r="1178" spans="1:24" s="1" customFormat="1" ht="26.1" customHeight="1" x14ac:dyDescent="0.3">
      <c r="A1178" s="24" t="s">
        <v>23</v>
      </c>
      <c r="B1178" s="24" t="s">
        <v>1287</v>
      </c>
      <c r="C1178" s="12" t="s">
        <v>1619</v>
      </c>
      <c r="D1178" s="54"/>
      <c r="E1178" s="39" t="str">
        <f>HYPERLINK("https://www.google.ru/search?q=3027007-002&amp;newwindow=1&amp;tbm=isch","Еще фото")</f>
        <v>Еще фото</v>
      </c>
      <c r="F1178" s="13"/>
      <c r="G1178" s="24" t="s">
        <v>808</v>
      </c>
      <c r="H1178" s="24" t="s">
        <v>593</v>
      </c>
      <c r="I1178" s="24" t="s">
        <v>809</v>
      </c>
      <c r="J1178" s="14" t="s">
        <v>29</v>
      </c>
      <c r="K1178" s="15" t="s">
        <v>64</v>
      </c>
      <c r="L1178" s="57"/>
      <c r="M1178" s="14"/>
      <c r="N1178" s="14" t="s">
        <v>33</v>
      </c>
      <c r="O1178" s="14"/>
      <c r="P1178" s="15" t="s">
        <v>919</v>
      </c>
      <c r="Q1178" s="16">
        <v>7899</v>
      </c>
      <c r="R1178" s="17">
        <v>40</v>
      </c>
      <c r="S1178" s="18">
        <v>5450.3099999999995</v>
      </c>
      <c r="T1178" s="19" t="s">
        <v>36</v>
      </c>
      <c r="U1178" s="20" t="s">
        <v>598</v>
      </c>
      <c r="V1178" s="22">
        <v>37</v>
      </c>
      <c r="W1178" s="22">
        <v>25</v>
      </c>
      <c r="X1178" s="23"/>
    </row>
    <row r="1179" spans="1:24" s="1" customFormat="1" ht="26.1" customHeight="1" x14ac:dyDescent="0.3">
      <c r="A1179" s="24" t="s">
        <v>23</v>
      </c>
      <c r="B1179" s="24" t="s">
        <v>1287</v>
      </c>
      <c r="C1179" s="12" t="s">
        <v>1619</v>
      </c>
      <c r="D1179" s="55"/>
      <c r="E1179" s="39" t="str">
        <f>HYPERLINK("https://www.google.ru/search?q=3027007-002&amp;newwindow=1&amp;tbm=isch","Еще фото")</f>
        <v>Еще фото</v>
      </c>
      <c r="F1179" s="13"/>
      <c r="G1179" s="24" t="s">
        <v>808</v>
      </c>
      <c r="H1179" s="24" t="s">
        <v>593</v>
      </c>
      <c r="I1179" s="24" t="s">
        <v>809</v>
      </c>
      <c r="J1179" s="14" t="s">
        <v>29</v>
      </c>
      <c r="K1179" s="15" t="s">
        <v>64</v>
      </c>
      <c r="L1179" s="58"/>
      <c r="M1179" s="14"/>
      <c r="N1179" s="14" t="s">
        <v>33</v>
      </c>
      <c r="O1179" s="14"/>
      <c r="P1179" s="15" t="s">
        <v>919</v>
      </c>
      <c r="Q1179" s="16">
        <v>7899</v>
      </c>
      <c r="R1179" s="17">
        <v>40</v>
      </c>
      <c r="S1179" s="18">
        <v>5450.3099999999995</v>
      </c>
      <c r="T1179" s="19" t="s">
        <v>36</v>
      </c>
      <c r="U1179" s="20" t="s">
        <v>599</v>
      </c>
      <c r="V1179" s="28">
        <v>37.5</v>
      </c>
      <c r="W1179" s="22">
        <v>19</v>
      </c>
      <c r="X1179" s="23"/>
    </row>
    <row r="1180" spans="1:24" s="1" customFormat="1" ht="35.1" customHeight="1" x14ac:dyDescent="0.3">
      <c r="A1180" s="11" t="s">
        <v>23</v>
      </c>
      <c r="B1180" s="11" t="s">
        <v>1287</v>
      </c>
      <c r="C1180" s="12" t="s">
        <v>1620</v>
      </c>
      <c r="D1180" s="53"/>
      <c r="E1180" s="39" t="str">
        <f>HYPERLINK("https://www.google.ru/search?q=3027007-100&amp;newwindow=1&amp;tbm=isch","Еще фото")</f>
        <v>Еще фото</v>
      </c>
      <c r="F1180" s="13" t="s">
        <v>98</v>
      </c>
      <c r="G1180" s="11" t="s">
        <v>808</v>
      </c>
      <c r="H1180" s="11" t="s">
        <v>593</v>
      </c>
      <c r="I1180" s="14" t="s">
        <v>809</v>
      </c>
      <c r="J1180" s="14" t="s">
        <v>29</v>
      </c>
      <c r="K1180" s="15" t="s">
        <v>64</v>
      </c>
      <c r="L1180" s="56" t="s">
        <v>1289</v>
      </c>
      <c r="M1180" s="14" t="s">
        <v>959</v>
      </c>
      <c r="N1180" s="14" t="s">
        <v>74</v>
      </c>
      <c r="O1180" s="14"/>
      <c r="P1180" s="15" t="s">
        <v>919</v>
      </c>
      <c r="Q1180" s="16">
        <v>7899</v>
      </c>
      <c r="R1180" s="17">
        <v>40</v>
      </c>
      <c r="S1180" s="18">
        <v>5450.3099999999995</v>
      </c>
      <c r="T1180" s="19" t="s">
        <v>36</v>
      </c>
      <c r="U1180" s="20" t="s">
        <v>820</v>
      </c>
      <c r="V1180" s="22">
        <v>36</v>
      </c>
      <c r="W1180" s="22">
        <v>4</v>
      </c>
      <c r="X1180" s="23"/>
    </row>
    <row r="1181" spans="1:24" s="1" customFormat="1" ht="35.1" customHeight="1" x14ac:dyDescent="0.3">
      <c r="A1181" s="24" t="s">
        <v>23</v>
      </c>
      <c r="B1181" s="24" t="s">
        <v>1287</v>
      </c>
      <c r="C1181" s="12" t="s">
        <v>1620</v>
      </c>
      <c r="D1181" s="54"/>
      <c r="E1181" s="39" t="str">
        <f>HYPERLINK("https://www.google.ru/search?q=3027007-100&amp;newwindow=1&amp;tbm=isch","Еще фото")</f>
        <v>Еще фото</v>
      </c>
      <c r="F1181" s="13" t="s">
        <v>98</v>
      </c>
      <c r="G1181" s="24" t="s">
        <v>808</v>
      </c>
      <c r="H1181" s="24" t="s">
        <v>593</v>
      </c>
      <c r="I1181" s="24" t="s">
        <v>809</v>
      </c>
      <c r="J1181" s="14" t="s">
        <v>29</v>
      </c>
      <c r="K1181" s="15" t="s">
        <v>64</v>
      </c>
      <c r="L1181" s="57"/>
      <c r="M1181" s="14" t="s">
        <v>959</v>
      </c>
      <c r="N1181" s="14" t="s">
        <v>74</v>
      </c>
      <c r="O1181" s="14"/>
      <c r="P1181" s="15" t="s">
        <v>919</v>
      </c>
      <c r="Q1181" s="16">
        <v>7899</v>
      </c>
      <c r="R1181" s="17">
        <v>40</v>
      </c>
      <c r="S1181" s="18">
        <v>5450.3099999999995</v>
      </c>
      <c r="T1181" s="19" t="s">
        <v>36</v>
      </c>
      <c r="U1181" s="20" t="s">
        <v>814</v>
      </c>
      <c r="V1181" s="28">
        <v>36.5</v>
      </c>
      <c r="W1181" s="22">
        <v>2</v>
      </c>
      <c r="X1181" s="23"/>
    </row>
    <row r="1182" spans="1:24" s="1" customFormat="1" ht="36.950000000000003" customHeight="1" x14ac:dyDescent="0.3">
      <c r="A1182" s="24" t="s">
        <v>23</v>
      </c>
      <c r="B1182" s="24" t="s">
        <v>1287</v>
      </c>
      <c r="C1182" s="12" t="s">
        <v>1620</v>
      </c>
      <c r="D1182" s="55"/>
      <c r="E1182" s="39" t="str">
        <f>HYPERLINK("https://www.google.ru/search?q=3027007-100&amp;newwindow=1&amp;tbm=isch","Еще фото")</f>
        <v>Еще фото</v>
      </c>
      <c r="F1182" s="13" t="s">
        <v>98</v>
      </c>
      <c r="G1182" s="24" t="s">
        <v>808</v>
      </c>
      <c r="H1182" s="24" t="s">
        <v>593</v>
      </c>
      <c r="I1182" s="24" t="s">
        <v>809</v>
      </c>
      <c r="J1182" s="14" t="s">
        <v>29</v>
      </c>
      <c r="K1182" s="15" t="s">
        <v>64</v>
      </c>
      <c r="L1182" s="58"/>
      <c r="M1182" s="14" t="s">
        <v>959</v>
      </c>
      <c r="N1182" s="14" t="s">
        <v>74</v>
      </c>
      <c r="O1182" s="14"/>
      <c r="P1182" s="15" t="s">
        <v>919</v>
      </c>
      <c r="Q1182" s="16">
        <v>7899</v>
      </c>
      <c r="R1182" s="17">
        <v>40</v>
      </c>
      <c r="S1182" s="18">
        <v>5450.3099999999995</v>
      </c>
      <c r="T1182" s="19" t="s">
        <v>36</v>
      </c>
      <c r="U1182" s="20" t="s">
        <v>600</v>
      </c>
      <c r="V1182" s="22">
        <v>38</v>
      </c>
      <c r="W1182" s="22">
        <v>1</v>
      </c>
      <c r="X1182" s="23"/>
    </row>
    <row r="1183" spans="1:24" s="1" customFormat="1" ht="21" customHeight="1" x14ac:dyDescent="0.3">
      <c r="A1183" s="11" t="s">
        <v>23</v>
      </c>
      <c r="B1183" s="11" t="s">
        <v>1287</v>
      </c>
      <c r="C1183" s="26" t="s">
        <v>1621</v>
      </c>
      <c r="D1183" s="53"/>
      <c r="E1183" s="39" t="str">
        <f>HYPERLINK("https://www.google.ru/search?q=3027007-403&amp;newwindow=1&amp;tbm=isch","Еще фото")</f>
        <v>Еще фото</v>
      </c>
      <c r="F1183" s="13"/>
      <c r="G1183" s="11" t="s">
        <v>808</v>
      </c>
      <c r="H1183" s="11" t="s">
        <v>593</v>
      </c>
      <c r="I1183" s="14" t="s">
        <v>809</v>
      </c>
      <c r="J1183" s="14" t="s">
        <v>29</v>
      </c>
      <c r="K1183" s="15" t="s">
        <v>64</v>
      </c>
      <c r="L1183" s="56" t="s">
        <v>1289</v>
      </c>
      <c r="M1183" s="14"/>
      <c r="N1183" s="14" t="s">
        <v>91</v>
      </c>
      <c r="O1183" s="14"/>
      <c r="P1183" s="15" t="s">
        <v>1290</v>
      </c>
      <c r="Q1183" s="16">
        <v>7799</v>
      </c>
      <c r="R1183" s="17">
        <v>40</v>
      </c>
      <c r="S1183" s="18">
        <v>5381.3099999999995</v>
      </c>
      <c r="T1183" s="19" t="s">
        <v>36</v>
      </c>
      <c r="U1183" s="20" t="s">
        <v>820</v>
      </c>
      <c r="V1183" s="22">
        <v>36</v>
      </c>
      <c r="W1183" s="22">
        <v>4</v>
      </c>
      <c r="X1183" s="23"/>
    </row>
    <row r="1184" spans="1:24" s="1" customFormat="1" ht="21" customHeight="1" x14ac:dyDescent="0.3">
      <c r="A1184" s="24" t="s">
        <v>23</v>
      </c>
      <c r="B1184" s="24" t="s">
        <v>1287</v>
      </c>
      <c r="C1184" s="27" t="s">
        <v>1621</v>
      </c>
      <c r="D1184" s="54"/>
      <c r="E1184" s="39" t="str">
        <f>HYPERLINK("https://www.google.ru/search?q=3027007-403&amp;newwindow=1&amp;tbm=isch","Еще фото")</f>
        <v>Еще фото</v>
      </c>
      <c r="F1184" s="13"/>
      <c r="G1184" s="24" t="s">
        <v>808</v>
      </c>
      <c r="H1184" s="24" t="s">
        <v>593</v>
      </c>
      <c r="I1184" s="24" t="s">
        <v>809</v>
      </c>
      <c r="J1184" s="14" t="s">
        <v>29</v>
      </c>
      <c r="K1184" s="15" t="s">
        <v>64</v>
      </c>
      <c r="L1184" s="57"/>
      <c r="M1184" s="14"/>
      <c r="N1184" s="14" t="s">
        <v>91</v>
      </c>
      <c r="O1184" s="14"/>
      <c r="P1184" s="15" t="s">
        <v>1290</v>
      </c>
      <c r="Q1184" s="16">
        <v>7799</v>
      </c>
      <c r="R1184" s="17">
        <v>40</v>
      </c>
      <c r="S1184" s="18">
        <v>5381.3099999999995</v>
      </c>
      <c r="T1184" s="19" t="s">
        <v>36</v>
      </c>
      <c r="U1184" s="20" t="s">
        <v>814</v>
      </c>
      <c r="V1184" s="28">
        <v>36.5</v>
      </c>
      <c r="W1184" s="22">
        <v>10</v>
      </c>
      <c r="X1184" s="23"/>
    </row>
    <row r="1185" spans="1:24" s="1" customFormat="1" ht="21" customHeight="1" x14ac:dyDescent="0.3">
      <c r="A1185" s="24" t="s">
        <v>23</v>
      </c>
      <c r="B1185" s="24" t="s">
        <v>1287</v>
      </c>
      <c r="C1185" s="27" t="s">
        <v>1621</v>
      </c>
      <c r="D1185" s="54"/>
      <c r="E1185" s="39" t="str">
        <f>HYPERLINK("https://www.google.ru/search?q=3027007-403&amp;newwindow=1&amp;tbm=isch","Еще фото")</f>
        <v>Еще фото</v>
      </c>
      <c r="F1185" s="13"/>
      <c r="G1185" s="24" t="s">
        <v>808</v>
      </c>
      <c r="H1185" s="24" t="s">
        <v>593</v>
      </c>
      <c r="I1185" s="24" t="s">
        <v>809</v>
      </c>
      <c r="J1185" s="14" t="s">
        <v>29</v>
      </c>
      <c r="K1185" s="15" t="s">
        <v>64</v>
      </c>
      <c r="L1185" s="57"/>
      <c r="M1185" s="14"/>
      <c r="N1185" s="14" t="s">
        <v>91</v>
      </c>
      <c r="O1185" s="14"/>
      <c r="P1185" s="15" t="s">
        <v>1290</v>
      </c>
      <c r="Q1185" s="16">
        <v>7799</v>
      </c>
      <c r="R1185" s="17">
        <v>40</v>
      </c>
      <c r="S1185" s="18">
        <v>5381.3099999999995</v>
      </c>
      <c r="T1185" s="19" t="s">
        <v>36</v>
      </c>
      <c r="U1185" s="20" t="s">
        <v>598</v>
      </c>
      <c r="V1185" s="22">
        <v>37</v>
      </c>
      <c r="W1185" s="22">
        <v>10</v>
      </c>
      <c r="X1185" s="23"/>
    </row>
    <row r="1186" spans="1:24" s="1" customFormat="1" ht="21" customHeight="1" x14ac:dyDescent="0.3">
      <c r="A1186" s="24" t="s">
        <v>23</v>
      </c>
      <c r="B1186" s="24" t="s">
        <v>1287</v>
      </c>
      <c r="C1186" s="27" t="s">
        <v>1621</v>
      </c>
      <c r="D1186" s="54"/>
      <c r="E1186" s="39" t="str">
        <f>HYPERLINK("https://www.google.ru/search?q=3027007-403&amp;newwindow=1&amp;tbm=isch","Еще фото")</f>
        <v>Еще фото</v>
      </c>
      <c r="F1186" s="13"/>
      <c r="G1186" s="24" t="s">
        <v>808</v>
      </c>
      <c r="H1186" s="24" t="s">
        <v>593</v>
      </c>
      <c r="I1186" s="24" t="s">
        <v>809</v>
      </c>
      <c r="J1186" s="14" t="s">
        <v>29</v>
      </c>
      <c r="K1186" s="15" t="s">
        <v>64</v>
      </c>
      <c r="L1186" s="57"/>
      <c r="M1186" s="14"/>
      <c r="N1186" s="14" t="s">
        <v>91</v>
      </c>
      <c r="O1186" s="14"/>
      <c r="P1186" s="15" t="s">
        <v>1290</v>
      </c>
      <c r="Q1186" s="16">
        <v>7799</v>
      </c>
      <c r="R1186" s="17">
        <v>40</v>
      </c>
      <c r="S1186" s="18">
        <v>5381.3099999999995</v>
      </c>
      <c r="T1186" s="19" t="s">
        <v>36</v>
      </c>
      <c r="U1186" s="20" t="s">
        <v>599</v>
      </c>
      <c r="V1186" s="28">
        <v>37.5</v>
      </c>
      <c r="W1186" s="22">
        <v>8</v>
      </c>
      <c r="X1186" s="23"/>
    </row>
    <row r="1187" spans="1:24" s="1" customFormat="1" ht="32.1" customHeight="1" x14ac:dyDescent="0.3">
      <c r="A1187" s="24" t="s">
        <v>23</v>
      </c>
      <c r="B1187" s="24" t="s">
        <v>1287</v>
      </c>
      <c r="C1187" s="27" t="s">
        <v>1621</v>
      </c>
      <c r="D1187" s="55"/>
      <c r="E1187" s="39" t="str">
        <f>HYPERLINK("https://www.google.ru/search?q=3027007-403&amp;newwindow=1&amp;tbm=isch","Еще фото")</f>
        <v>Еще фото</v>
      </c>
      <c r="F1187" s="13"/>
      <c r="G1187" s="24" t="s">
        <v>808</v>
      </c>
      <c r="H1187" s="24" t="s">
        <v>593</v>
      </c>
      <c r="I1187" s="24" t="s">
        <v>809</v>
      </c>
      <c r="J1187" s="14" t="s">
        <v>29</v>
      </c>
      <c r="K1187" s="15" t="s">
        <v>64</v>
      </c>
      <c r="L1187" s="58"/>
      <c r="M1187" s="14"/>
      <c r="N1187" s="14" t="s">
        <v>91</v>
      </c>
      <c r="O1187" s="14"/>
      <c r="P1187" s="15" t="s">
        <v>1290</v>
      </c>
      <c r="Q1187" s="16">
        <v>7799</v>
      </c>
      <c r="R1187" s="17">
        <v>40</v>
      </c>
      <c r="S1187" s="18">
        <v>5381.3099999999995</v>
      </c>
      <c r="T1187" s="19" t="s">
        <v>36</v>
      </c>
      <c r="U1187" s="20" t="s">
        <v>600</v>
      </c>
      <c r="V1187" s="22">
        <v>38</v>
      </c>
      <c r="W1187" s="22">
        <v>4</v>
      </c>
      <c r="X1187" s="23"/>
    </row>
    <row r="1188" spans="1:24" s="1" customFormat="1" ht="51.95" customHeight="1" x14ac:dyDescent="0.3">
      <c r="A1188" s="11" t="s">
        <v>23</v>
      </c>
      <c r="B1188" s="11" t="s">
        <v>1287</v>
      </c>
      <c r="C1188" s="12" t="s">
        <v>1622</v>
      </c>
      <c r="D1188" s="59"/>
      <c r="E1188" s="39" t="str">
        <f>HYPERLINK("https://www.google.ru/search?q=3027007-520&amp;newwindow=1&amp;tbm=isch","Еще фото")</f>
        <v>Еще фото</v>
      </c>
      <c r="F1188" s="13"/>
      <c r="G1188" s="11" t="s">
        <v>808</v>
      </c>
      <c r="H1188" s="11" t="s">
        <v>593</v>
      </c>
      <c r="I1188" s="14" t="s">
        <v>809</v>
      </c>
      <c r="J1188" s="14" t="s">
        <v>29</v>
      </c>
      <c r="K1188" s="15" t="s">
        <v>64</v>
      </c>
      <c r="L1188" s="56" t="s">
        <v>1623</v>
      </c>
      <c r="M1188" s="14"/>
      <c r="N1188" s="14" t="s">
        <v>67</v>
      </c>
      <c r="O1188" s="14"/>
      <c r="P1188" s="15" t="s">
        <v>597</v>
      </c>
      <c r="Q1188" s="16">
        <v>7899</v>
      </c>
      <c r="R1188" s="17">
        <v>40</v>
      </c>
      <c r="S1188" s="18">
        <v>5450.3099999999995</v>
      </c>
      <c r="T1188" s="19" t="s">
        <v>36</v>
      </c>
      <c r="U1188" s="20" t="s">
        <v>814</v>
      </c>
      <c r="V1188" s="28">
        <v>36.5</v>
      </c>
      <c r="W1188" s="22">
        <v>2</v>
      </c>
      <c r="X1188" s="23"/>
    </row>
    <row r="1189" spans="1:24" s="1" customFormat="1" ht="60.95" customHeight="1" x14ac:dyDescent="0.3">
      <c r="A1189" s="24" t="s">
        <v>23</v>
      </c>
      <c r="B1189" s="24" t="s">
        <v>1287</v>
      </c>
      <c r="C1189" s="12" t="s">
        <v>1622</v>
      </c>
      <c r="D1189" s="60"/>
      <c r="E1189" s="39" t="str">
        <f>HYPERLINK("https://www.google.ru/search?q=3027007-520&amp;newwindow=1&amp;tbm=isch","Еще фото")</f>
        <v>Еще фото</v>
      </c>
      <c r="F1189" s="13"/>
      <c r="G1189" s="24" t="s">
        <v>808</v>
      </c>
      <c r="H1189" s="24" t="s">
        <v>593</v>
      </c>
      <c r="I1189" s="24" t="s">
        <v>809</v>
      </c>
      <c r="J1189" s="14" t="s">
        <v>29</v>
      </c>
      <c r="K1189" s="15" t="s">
        <v>64</v>
      </c>
      <c r="L1189" s="58"/>
      <c r="M1189" s="14"/>
      <c r="N1189" s="14" t="s">
        <v>67</v>
      </c>
      <c r="O1189" s="14"/>
      <c r="P1189" s="15" t="s">
        <v>597</v>
      </c>
      <c r="Q1189" s="16">
        <v>7899</v>
      </c>
      <c r="R1189" s="17">
        <v>40</v>
      </c>
      <c r="S1189" s="18">
        <v>5450.3099999999995</v>
      </c>
      <c r="T1189" s="19" t="s">
        <v>36</v>
      </c>
      <c r="U1189" s="20" t="s">
        <v>599</v>
      </c>
      <c r="V1189" s="28">
        <v>37.5</v>
      </c>
      <c r="W1189" s="22">
        <v>4</v>
      </c>
      <c r="X1189" s="23"/>
    </row>
    <row r="1190" spans="1:24" s="1" customFormat="1" ht="35.1" customHeight="1" x14ac:dyDescent="0.3">
      <c r="A1190" s="11" t="s">
        <v>23</v>
      </c>
      <c r="B1190" s="11" t="s">
        <v>1287</v>
      </c>
      <c r="C1190" s="12" t="s">
        <v>1624</v>
      </c>
      <c r="D1190" s="53"/>
      <c r="E1190" s="39" t="str">
        <f>HYPERLINK("https://www.google.ru/search?q=3027007-592&amp;newwindow=1&amp;tbm=isch","Еще фото")</f>
        <v>Еще фото</v>
      </c>
      <c r="F1190" s="13"/>
      <c r="G1190" s="11" t="s">
        <v>808</v>
      </c>
      <c r="H1190" s="11" t="s">
        <v>593</v>
      </c>
      <c r="I1190" s="14" t="s">
        <v>809</v>
      </c>
      <c r="J1190" s="14" t="s">
        <v>29</v>
      </c>
      <c r="K1190" s="15" t="s">
        <v>64</v>
      </c>
      <c r="L1190" s="56" t="s">
        <v>1289</v>
      </c>
      <c r="M1190" s="14"/>
      <c r="N1190" s="14" t="s">
        <v>1625</v>
      </c>
      <c r="O1190" s="14"/>
      <c r="P1190" s="15" t="s">
        <v>919</v>
      </c>
      <c r="Q1190" s="16">
        <v>7899</v>
      </c>
      <c r="R1190" s="17">
        <v>40</v>
      </c>
      <c r="S1190" s="18">
        <v>5450.3099999999995</v>
      </c>
      <c r="T1190" s="19" t="s">
        <v>36</v>
      </c>
      <c r="U1190" s="20" t="s">
        <v>814</v>
      </c>
      <c r="V1190" s="28">
        <v>36.5</v>
      </c>
      <c r="W1190" s="22">
        <v>3</v>
      </c>
      <c r="X1190" s="23"/>
    </row>
    <row r="1191" spans="1:24" s="1" customFormat="1" ht="35.1" customHeight="1" x14ac:dyDescent="0.3">
      <c r="A1191" s="24" t="s">
        <v>23</v>
      </c>
      <c r="B1191" s="24" t="s">
        <v>1287</v>
      </c>
      <c r="C1191" s="12" t="s">
        <v>1624</v>
      </c>
      <c r="D1191" s="54"/>
      <c r="E1191" s="39" t="str">
        <f>HYPERLINK("https://www.google.ru/search?q=3027007-592&amp;newwindow=1&amp;tbm=isch","Еще фото")</f>
        <v>Еще фото</v>
      </c>
      <c r="F1191" s="13"/>
      <c r="G1191" s="24" t="s">
        <v>808</v>
      </c>
      <c r="H1191" s="24" t="s">
        <v>593</v>
      </c>
      <c r="I1191" s="24" t="s">
        <v>809</v>
      </c>
      <c r="J1191" s="14" t="s">
        <v>29</v>
      </c>
      <c r="K1191" s="15" t="s">
        <v>64</v>
      </c>
      <c r="L1191" s="57"/>
      <c r="M1191" s="14"/>
      <c r="N1191" s="14" t="s">
        <v>1625</v>
      </c>
      <c r="O1191" s="14"/>
      <c r="P1191" s="15" t="s">
        <v>919</v>
      </c>
      <c r="Q1191" s="16">
        <v>7899</v>
      </c>
      <c r="R1191" s="17">
        <v>40</v>
      </c>
      <c r="S1191" s="18">
        <v>5450.3099999999995</v>
      </c>
      <c r="T1191" s="19" t="s">
        <v>36</v>
      </c>
      <c r="U1191" s="20" t="s">
        <v>598</v>
      </c>
      <c r="V1191" s="22">
        <v>37</v>
      </c>
      <c r="W1191" s="22">
        <v>1</v>
      </c>
      <c r="X1191" s="23"/>
    </row>
    <row r="1192" spans="1:24" s="1" customFormat="1" ht="36.950000000000003" customHeight="1" x14ac:dyDescent="0.3">
      <c r="A1192" s="24" t="s">
        <v>23</v>
      </c>
      <c r="B1192" s="24" t="s">
        <v>1287</v>
      </c>
      <c r="C1192" s="12" t="s">
        <v>1624</v>
      </c>
      <c r="D1192" s="55"/>
      <c r="E1192" s="39" t="str">
        <f>HYPERLINK("https://www.google.ru/search?q=3027007-592&amp;newwindow=1&amp;tbm=isch","Еще фото")</f>
        <v>Еще фото</v>
      </c>
      <c r="F1192" s="13"/>
      <c r="G1192" s="24" t="s">
        <v>808</v>
      </c>
      <c r="H1192" s="24" t="s">
        <v>593</v>
      </c>
      <c r="I1192" s="24" t="s">
        <v>809</v>
      </c>
      <c r="J1192" s="14" t="s">
        <v>29</v>
      </c>
      <c r="K1192" s="15" t="s">
        <v>64</v>
      </c>
      <c r="L1192" s="58"/>
      <c r="M1192" s="14"/>
      <c r="N1192" s="14" t="s">
        <v>1625</v>
      </c>
      <c r="O1192" s="14"/>
      <c r="P1192" s="15" t="s">
        <v>919</v>
      </c>
      <c r="Q1192" s="16">
        <v>7899</v>
      </c>
      <c r="R1192" s="17">
        <v>40</v>
      </c>
      <c r="S1192" s="18">
        <v>5450.3099999999995</v>
      </c>
      <c r="T1192" s="19" t="s">
        <v>36</v>
      </c>
      <c r="U1192" s="20" t="s">
        <v>599</v>
      </c>
      <c r="V1192" s="28">
        <v>37.5</v>
      </c>
      <c r="W1192" s="22">
        <v>3</v>
      </c>
      <c r="X1192" s="23"/>
    </row>
    <row r="1193" spans="1:24" s="1" customFormat="1" ht="51.95" customHeight="1" x14ac:dyDescent="0.3">
      <c r="A1193" s="11" t="s">
        <v>23</v>
      </c>
      <c r="B1193" s="11" t="s">
        <v>1626</v>
      </c>
      <c r="C1193" s="12" t="s">
        <v>1627</v>
      </c>
      <c r="D1193" s="59"/>
      <c r="E1193" s="39" t="str">
        <f>HYPERLINK("https://www.google.ru/search?q=3027154-001&amp;newwindow=1&amp;tbm=isch","Еще фото")</f>
        <v>Еще фото</v>
      </c>
      <c r="F1193" s="13"/>
      <c r="G1193" s="11" t="s">
        <v>808</v>
      </c>
      <c r="H1193" s="11" t="s">
        <v>593</v>
      </c>
      <c r="I1193" s="14" t="s">
        <v>809</v>
      </c>
      <c r="J1193" s="14" t="s">
        <v>29</v>
      </c>
      <c r="K1193" s="15" t="s">
        <v>578</v>
      </c>
      <c r="L1193" s="56" t="s">
        <v>1628</v>
      </c>
      <c r="M1193" s="14" t="s">
        <v>824</v>
      </c>
      <c r="N1193" s="14" t="s">
        <v>410</v>
      </c>
      <c r="O1193" s="14"/>
      <c r="P1193" s="15" t="s">
        <v>1629</v>
      </c>
      <c r="Q1193" s="16">
        <v>23399</v>
      </c>
      <c r="R1193" s="17">
        <v>40</v>
      </c>
      <c r="S1193" s="18">
        <v>16145.309999999998</v>
      </c>
      <c r="T1193" s="19" t="s">
        <v>36</v>
      </c>
      <c r="U1193" s="20" t="s">
        <v>599</v>
      </c>
      <c r="V1193" s="28">
        <v>39.5</v>
      </c>
      <c r="W1193" s="22">
        <v>1</v>
      </c>
      <c r="X1193" s="23"/>
    </row>
    <row r="1194" spans="1:24" s="1" customFormat="1" ht="60.95" customHeight="1" x14ac:dyDescent="0.3">
      <c r="A1194" s="24" t="s">
        <v>23</v>
      </c>
      <c r="B1194" s="24" t="s">
        <v>1626</v>
      </c>
      <c r="C1194" s="12" t="s">
        <v>1627</v>
      </c>
      <c r="D1194" s="60"/>
      <c r="E1194" s="39" t="str">
        <f>HYPERLINK("https://www.google.ru/search?q=3027154-001&amp;newwindow=1&amp;tbm=isch","Еще фото")</f>
        <v>Еще фото</v>
      </c>
      <c r="F1194" s="13"/>
      <c r="G1194" s="24" t="s">
        <v>808</v>
      </c>
      <c r="H1194" s="24" t="s">
        <v>593</v>
      </c>
      <c r="I1194" s="24" t="s">
        <v>809</v>
      </c>
      <c r="J1194" s="14" t="s">
        <v>29</v>
      </c>
      <c r="K1194" s="15" t="s">
        <v>578</v>
      </c>
      <c r="L1194" s="58"/>
      <c r="M1194" s="14" t="s">
        <v>824</v>
      </c>
      <c r="N1194" s="14" t="s">
        <v>410</v>
      </c>
      <c r="O1194" s="14"/>
      <c r="P1194" s="15" t="s">
        <v>1629</v>
      </c>
      <c r="Q1194" s="16">
        <v>23399</v>
      </c>
      <c r="R1194" s="17">
        <v>40</v>
      </c>
      <c r="S1194" s="18">
        <v>16145.309999999998</v>
      </c>
      <c r="T1194" s="19" t="s">
        <v>36</v>
      </c>
      <c r="U1194" s="20" t="s">
        <v>602</v>
      </c>
      <c r="V1194" s="28">
        <v>41.5</v>
      </c>
      <c r="W1194" s="22">
        <v>1</v>
      </c>
      <c r="X1194" s="23"/>
    </row>
    <row r="1195" spans="1:24" s="1" customFormat="1" ht="108" customHeight="1" x14ac:dyDescent="0.3">
      <c r="A1195" s="11" t="s">
        <v>23</v>
      </c>
      <c r="B1195" s="11" t="s">
        <v>1630</v>
      </c>
      <c r="C1195" s="12" t="s">
        <v>1631</v>
      </c>
      <c r="D1195" s="25"/>
      <c r="E1195" s="39" t="str">
        <f>HYPERLINK("https://www.google.ru/search?q=3027154-601&amp;newwindow=1&amp;tbm=isch","Еще фото")</f>
        <v>Еще фото</v>
      </c>
      <c r="F1195" s="13"/>
      <c r="G1195" s="11" t="s">
        <v>808</v>
      </c>
      <c r="H1195" s="11" t="s">
        <v>593</v>
      </c>
      <c r="I1195" s="14" t="s">
        <v>809</v>
      </c>
      <c r="J1195" s="14" t="s">
        <v>29</v>
      </c>
      <c r="K1195" s="15" t="s">
        <v>578</v>
      </c>
      <c r="L1195" s="14" t="s">
        <v>1628</v>
      </c>
      <c r="M1195" s="14" t="s">
        <v>824</v>
      </c>
      <c r="N1195" s="14" t="s">
        <v>1632</v>
      </c>
      <c r="O1195" s="14"/>
      <c r="P1195" s="15" t="s">
        <v>1633</v>
      </c>
      <c r="Q1195" s="16">
        <v>23999</v>
      </c>
      <c r="R1195" s="17">
        <v>40</v>
      </c>
      <c r="S1195" s="18">
        <v>16559.309999999998</v>
      </c>
      <c r="T1195" s="19" t="s">
        <v>36</v>
      </c>
      <c r="U1195" s="20" t="s">
        <v>603</v>
      </c>
      <c r="V1195" s="22">
        <v>42</v>
      </c>
      <c r="W1195" s="22">
        <v>1</v>
      </c>
      <c r="X1195" s="23"/>
    </row>
    <row r="1196" spans="1:24" s="1" customFormat="1" ht="108" customHeight="1" x14ac:dyDescent="0.3">
      <c r="A1196" s="11" t="s">
        <v>23</v>
      </c>
      <c r="B1196" s="11" t="s">
        <v>1249</v>
      </c>
      <c r="C1196" s="12" t="s">
        <v>1634</v>
      </c>
      <c r="D1196" s="25"/>
      <c r="E1196" s="39" t="str">
        <f>HYPERLINK("https://www.google.ru/search?q=3027189-003&amp;newwindow=1&amp;tbm=isch","Еще фото")</f>
        <v>Еще фото</v>
      </c>
      <c r="F1196" s="13"/>
      <c r="G1196" s="11" t="s">
        <v>808</v>
      </c>
      <c r="H1196" s="11" t="s">
        <v>593</v>
      </c>
      <c r="I1196" s="14" t="s">
        <v>809</v>
      </c>
      <c r="J1196" s="14" t="s">
        <v>29</v>
      </c>
      <c r="K1196" s="15" t="s">
        <v>30</v>
      </c>
      <c r="L1196" s="14" t="s">
        <v>922</v>
      </c>
      <c r="M1196" s="14"/>
      <c r="N1196" s="14" t="s">
        <v>33</v>
      </c>
      <c r="O1196" s="14"/>
      <c r="P1196" s="15" t="s">
        <v>923</v>
      </c>
      <c r="Q1196" s="16">
        <v>19499</v>
      </c>
      <c r="R1196" s="17">
        <v>40</v>
      </c>
      <c r="S1196" s="18">
        <v>13454.309999999998</v>
      </c>
      <c r="T1196" s="19" t="s">
        <v>36</v>
      </c>
      <c r="U1196" s="20" t="s">
        <v>600</v>
      </c>
      <c r="V1196" s="22">
        <v>40</v>
      </c>
      <c r="W1196" s="22">
        <v>2</v>
      </c>
      <c r="X1196" s="23"/>
    </row>
    <row r="1197" spans="1:24" s="1" customFormat="1" ht="26.1" customHeight="1" x14ac:dyDescent="0.3">
      <c r="A1197" s="11" t="s">
        <v>23</v>
      </c>
      <c r="B1197" s="11" t="s">
        <v>1249</v>
      </c>
      <c r="C1197" s="12" t="s">
        <v>1635</v>
      </c>
      <c r="D1197" s="53"/>
      <c r="E1197" s="39" t="str">
        <f>HYPERLINK("https://www.google.ru/search?q=3027189-101&amp;newwindow=1&amp;tbm=isch","Еще фото")</f>
        <v>Еще фото</v>
      </c>
      <c r="F1197" s="13"/>
      <c r="G1197" s="11" t="s">
        <v>808</v>
      </c>
      <c r="H1197" s="11" t="s">
        <v>593</v>
      </c>
      <c r="I1197" s="14" t="s">
        <v>809</v>
      </c>
      <c r="J1197" s="14" t="s">
        <v>29</v>
      </c>
      <c r="K1197" s="15" t="s">
        <v>30</v>
      </c>
      <c r="L1197" s="56" t="s">
        <v>922</v>
      </c>
      <c r="M1197" s="14"/>
      <c r="N1197" s="14" t="s">
        <v>74</v>
      </c>
      <c r="O1197" s="14"/>
      <c r="P1197" s="15" t="s">
        <v>923</v>
      </c>
      <c r="Q1197" s="16">
        <v>19499</v>
      </c>
      <c r="R1197" s="17">
        <v>40</v>
      </c>
      <c r="S1197" s="18">
        <v>13454.309999999998</v>
      </c>
      <c r="T1197" s="19" t="s">
        <v>36</v>
      </c>
      <c r="U1197" s="20" t="s">
        <v>600</v>
      </c>
      <c r="V1197" s="22">
        <v>40</v>
      </c>
      <c r="W1197" s="22">
        <v>1</v>
      </c>
      <c r="X1197" s="23"/>
    </row>
    <row r="1198" spans="1:24" s="1" customFormat="1" ht="26.1" customHeight="1" x14ac:dyDescent="0.3">
      <c r="A1198" s="24" t="s">
        <v>23</v>
      </c>
      <c r="B1198" s="24" t="s">
        <v>1249</v>
      </c>
      <c r="C1198" s="12" t="s">
        <v>1635</v>
      </c>
      <c r="D1198" s="54"/>
      <c r="E1198" s="39" t="str">
        <f>HYPERLINK("https://www.google.ru/search?q=3027189-101&amp;newwindow=1&amp;tbm=isch","Еще фото")</f>
        <v>Еще фото</v>
      </c>
      <c r="F1198" s="13"/>
      <c r="G1198" s="24" t="s">
        <v>808</v>
      </c>
      <c r="H1198" s="24" t="s">
        <v>593</v>
      </c>
      <c r="I1198" s="24" t="s">
        <v>809</v>
      </c>
      <c r="J1198" s="14" t="s">
        <v>29</v>
      </c>
      <c r="K1198" s="15" t="s">
        <v>30</v>
      </c>
      <c r="L1198" s="57"/>
      <c r="M1198" s="14"/>
      <c r="N1198" s="14" t="s">
        <v>74</v>
      </c>
      <c r="O1198" s="14"/>
      <c r="P1198" s="15" t="s">
        <v>923</v>
      </c>
      <c r="Q1198" s="16">
        <v>19499</v>
      </c>
      <c r="R1198" s="17">
        <v>40</v>
      </c>
      <c r="S1198" s="18">
        <v>13454.309999999998</v>
      </c>
      <c r="T1198" s="19" t="s">
        <v>36</v>
      </c>
      <c r="U1198" s="20" t="s">
        <v>602</v>
      </c>
      <c r="V1198" s="28">
        <v>41.5</v>
      </c>
      <c r="W1198" s="22">
        <v>2</v>
      </c>
      <c r="X1198" s="23"/>
    </row>
    <row r="1199" spans="1:24" s="1" customFormat="1" ht="26.1" customHeight="1" x14ac:dyDescent="0.3">
      <c r="A1199" s="24" t="s">
        <v>23</v>
      </c>
      <c r="B1199" s="24" t="s">
        <v>1249</v>
      </c>
      <c r="C1199" s="12" t="s">
        <v>1635</v>
      </c>
      <c r="D1199" s="54"/>
      <c r="E1199" s="39" t="str">
        <f>HYPERLINK("https://www.google.ru/search?q=3027189-101&amp;newwindow=1&amp;tbm=isch","Еще фото")</f>
        <v>Еще фото</v>
      </c>
      <c r="F1199" s="13"/>
      <c r="G1199" s="24" t="s">
        <v>808</v>
      </c>
      <c r="H1199" s="24" t="s">
        <v>593</v>
      </c>
      <c r="I1199" s="24" t="s">
        <v>809</v>
      </c>
      <c r="J1199" s="14" t="s">
        <v>29</v>
      </c>
      <c r="K1199" s="15" t="s">
        <v>30</v>
      </c>
      <c r="L1199" s="57"/>
      <c r="M1199" s="14"/>
      <c r="N1199" s="14" t="s">
        <v>74</v>
      </c>
      <c r="O1199" s="14"/>
      <c r="P1199" s="15" t="s">
        <v>923</v>
      </c>
      <c r="Q1199" s="16">
        <v>19499</v>
      </c>
      <c r="R1199" s="17">
        <v>40</v>
      </c>
      <c r="S1199" s="18">
        <v>13454.309999999998</v>
      </c>
      <c r="T1199" s="19" t="s">
        <v>36</v>
      </c>
      <c r="U1199" s="20" t="s">
        <v>605</v>
      </c>
      <c r="V1199" s="28">
        <v>43.5</v>
      </c>
      <c r="W1199" s="22">
        <v>2</v>
      </c>
      <c r="X1199" s="23"/>
    </row>
    <row r="1200" spans="1:24" s="1" customFormat="1" ht="26.1" customHeight="1" x14ac:dyDescent="0.3">
      <c r="A1200" s="24" t="s">
        <v>23</v>
      </c>
      <c r="B1200" s="24" t="s">
        <v>1249</v>
      </c>
      <c r="C1200" s="12" t="s">
        <v>1635</v>
      </c>
      <c r="D1200" s="55"/>
      <c r="E1200" s="39" t="str">
        <f>HYPERLINK("https://www.google.ru/search?q=3027189-101&amp;newwindow=1&amp;tbm=isch","Еще фото")</f>
        <v>Еще фото</v>
      </c>
      <c r="F1200" s="13"/>
      <c r="G1200" s="24" t="s">
        <v>808</v>
      </c>
      <c r="H1200" s="24" t="s">
        <v>593</v>
      </c>
      <c r="I1200" s="24" t="s">
        <v>809</v>
      </c>
      <c r="J1200" s="14" t="s">
        <v>29</v>
      </c>
      <c r="K1200" s="15" t="s">
        <v>30</v>
      </c>
      <c r="L1200" s="58"/>
      <c r="M1200" s="14"/>
      <c r="N1200" s="14" t="s">
        <v>74</v>
      </c>
      <c r="O1200" s="14"/>
      <c r="P1200" s="15" t="s">
        <v>923</v>
      </c>
      <c r="Q1200" s="16">
        <v>19499</v>
      </c>
      <c r="R1200" s="17">
        <v>40</v>
      </c>
      <c r="S1200" s="18">
        <v>13454.309999999998</v>
      </c>
      <c r="T1200" s="19" t="s">
        <v>36</v>
      </c>
      <c r="U1200" s="20" t="s">
        <v>606</v>
      </c>
      <c r="V1200" s="22">
        <v>44</v>
      </c>
      <c r="W1200" s="22">
        <v>1</v>
      </c>
      <c r="X1200" s="23"/>
    </row>
    <row r="1201" spans="1:24" s="1" customFormat="1" ht="14.1" customHeight="1" x14ac:dyDescent="0.3">
      <c r="A1201" s="11" t="s">
        <v>23</v>
      </c>
      <c r="B1201" s="11" t="s">
        <v>1249</v>
      </c>
      <c r="C1201" s="12" t="s">
        <v>1636</v>
      </c>
      <c r="D1201" s="53"/>
      <c r="E1201" s="39" t="str">
        <f t="shared" ref="E1201:E1207" si="21">HYPERLINK("https://www.google.ru/search?q=3027189-102&amp;newwindow=1&amp;tbm=isch","Еще фото")</f>
        <v>Еще фото</v>
      </c>
      <c r="F1201" s="13"/>
      <c r="G1201" s="11" t="s">
        <v>808</v>
      </c>
      <c r="H1201" s="11" t="s">
        <v>593</v>
      </c>
      <c r="I1201" s="14" t="s">
        <v>809</v>
      </c>
      <c r="J1201" s="14" t="s">
        <v>29</v>
      </c>
      <c r="K1201" s="15" t="s">
        <v>30</v>
      </c>
      <c r="L1201" s="56" t="s">
        <v>922</v>
      </c>
      <c r="M1201" s="14"/>
      <c r="N1201" s="14" t="s">
        <v>84</v>
      </c>
      <c r="O1201" s="14"/>
      <c r="P1201" s="15" t="s">
        <v>923</v>
      </c>
      <c r="Q1201" s="16">
        <v>19499</v>
      </c>
      <c r="R1201" s="17">
        <v>40</v>
      </c>
      <c r="S1201" s="18">
        <v>13454.309999999998</v>
      </c>
      <c r="T1201" s="19" t="s">
        <v>36</v>
      </c>
      <c r="U1201" s="20" t="s">
        <v>598</v>
      </c>
      <c r="V1201" s="22">
        <v>39</v>
      </c>
      <c r="W1201" s="22">
        <v>1</v>
      </c>
      <c r="X1201" s="23"/>
    </row>
    <row r="1202" spans="1:24" s="1" customFormat="1" ht="14.1" customHeight="1" x14ac:dyDescent="0.3">
      <c r="A1202" s="24" t="s">
        <v>23</v>
      </c>
      <c r="B1202" s="24" t="s">
        <v>1249</v>
      </c>
      <c r="C1202" s="12" t="s">
        <v>1636</v>
      </c>
      <c r="D1202" s="54"/>
      <c r="E1202" s="39" t="str">
        <f t="shared" si="21"/>
        <v>Еще фото</v>
      </c>
      <c r="F1202" s="13"/>
      <c r="G1202" s="24" t="s">
        <v>808</v>
      </c>
      <c r="H1202" s="24" t="s">
        <v>593</v>
      </c>
      <c r="I1202" s="24" t="s">
        <v>809</v>
      </c>
      <c r="J1202" s="14" t="s">
        <v>29</v>
      </c>
      <c r="K1202" s="15" t="s">
        <v>30</v>
      </c>
      <c r="L1202" s="57"/>
      <c r="M1202" s="14"/>
      <c r="N1202" s="14" t="s">
        <v>84</v>
      </c>
      <c r="O1202" s="14"/>
      <c r="P1202" s="15" t="s">
        <v>923</v>
      </c>
      <c r="Q1202" s="16">
        <v>19499</v>
      </c>
      <c r="R1202" s="17">
        <v>40</v>
      </c>
      <c r="S1202" s="18">
        <v>13454.309999999998</v>
      </c>
      <c r="T1202" s="19" t="s">
        <v>36</v>
      </c>
      <c r="U1202" s="20" t="s">
        <v>599</v>
      </c>
      <c r="V1202" s="28">
        <v>39.5</v>
      </c>
      <c r="W1202" s="22">
        <v>1</v>
      </c>
      <c r="X1202" s="23"/>
    </row>
    <row r="1203" spans="1:24" s="1" customFormat="1" ht="14.1" customHeight="1" x14ac:dyDescent="0.3">
      <c r="A1203" s="24" t="s">
        <v>23</v>
      </c>
      <c r="B1203" s="24" t="s">
        <v>1249</v>
      </c>
      <c r="C1203" s="12" t="s">
        <v>1636</v>
      </c>
      <c r="D1203" s="54"/>
      <c r="E1203" s="39" t="str">
        <f t="shared" si="21"/>
        <v>Еще фото</v>
      </c>
      <c r="F1203" s="13"/>
      <c r="G1203" s="24" t="s">
        <v>808</v>
      </c>
      <c r="H1203" s="24" t="s">
        <v>593</v>
      </c>
      <c r="I1203" s="24" t="s">
        <v>809</v>
      </c>
      <c r="J1203" s="14" t="s">
        <v>29</v>
      </c>
      <c r="K1203" s="15" t="s">
        <v>30</v>
      </c>
      <c r="L1203" s="57"/>
      <c r="M1203" s="14"/>
      <c r="N1203" s="14" t="s">
        <v>84</v>
      </c>
      <c r="O1203" s="14"/>
      <c r="P1203" s="15" t="s">
        <v>923</v>
      </c>
      <c r="Q1203" s="16">
        <v>19499</v>
      </c>
      <c r="R1203" s="17">
        <v>40</v>
      </c>
      <c r="S1203" s="18">
        <v>13454.309999999998</v>
      </c>
      <c r="T1203" s="19" t="s">
        <v>36</v>
      </c>
      <c r="U1203" s="20" t="s">
        <v>601</v>
      </c>
      <c r="V1203" s="22">
        <v>41</v>
      </c>
      <c r="W1203" s="22">
        <v>1</v>
      </c>
      <c r="X1203" s="23"/>
    </row>
    <row r="1204" spans="1:24" s="1" customFormat="1" ht="14.1" customHeight="1" x14ac:dyDescent="0.3">
      <c r="A1204" s="24" t="s">
        <v>23</v>
      </c>
      <c r="B1204" s="24" t="s">
        <v>1249</v>
      </c>
      <c r="C1204" s="12" t="s">
        <v>1636</v>
      </c>
      <c r="D1204" s="54"/>
      <c r="E1204" s="39" t="str">
        <f t="shared" si="21"/>
        <v>Еще фото</v>
      </c>
      <c r="F1204" s="13"/>
      <c r="G1204" s="24" t="s">
        <v>808</v>
      </c>
      <c r="H1204" s="24" t="s">
        <v>593</v>
      </c>
      <c r="I1204" s="24" t="s">
        <v>809</v>
      </c>
      <c r="J1204" s="14" t="s">
        <v>29</v>
      </c>
      <c r="K1204" s="15" t="s">
        <v>30</v>
      </c>
      <c r="L1204" s="57"/>
      <c r="M1204" s="14"/>
      <c r="N1204" s="14" t="s">
        <v>84</v>
      </c>
      <c r="O1204" s="14"/>
      <c r="P1204" s="15" t="s">
        <v>923</v>
      </c>
      <c r="Q1204" s="16">
        <v>19499</v>
      </c>
      <c r="R1204" s="17">
        <v>40</v>
      </c>
      <c r="S1204" s="18">
        <v>13454.309999999998</v>
      </c>
      <c r="T1204" s="19" t="s">
        <v>36</v>
      </c>
      <c r="U1204" s="20" t="s">
        <v>602</v>
      </c>
      <c r="V1204" s="28">
        <v>41.5</v>
      </c>
      <c r="W1204" s="22">
        <v>2</v>
      </c>
      <c r="X1204" s="23"/>
    </row>
    <row r="1205" spans="1:24" s="1" customFormat="1" ht="14.1" customHeight="1" x14ac:dyDescent="0.3">
      <c r="A1205" s="24" t="s">
        <v>23</v>
      </c>
      <c r="B1205" s="24" t="s">
        <v>1249</v>
      </c>
      <c r="C1205" s="12" t="s">
        <v>1636</v>
      </c>
      <c r="D1205" s="54"/>
      <c r="E1205" s="39" t="str">
        <f t="shared" si="21"/>
        <v>Еще фото</v>
      </c>
      <c r="F1205" s="13"/>
      <c r="G1205" s="24" t="s">
        <v>808</v>
      </c>
      <c r="H1205" s="24" t="s">
        <v>593</v>
      </c>
      <c r="I1205" s="24" t="s">
        <v>809</v>
      </c>
      <c r="J1205" s="14" t="s">
        <v>29</v>
      </c>
      <c r="K1205" s="15" t="s">
        <v>30</v>
      </c>
      <c r="L1205" s="57"/>
      <c r="M1205" s="14"/>
      <c r="N1205" s="14" t="s">
        <v>84</v>
      </c>
      <c r="O1205" s="14"/>
      <c r="P1205" s="15" t="s">
        <v>923</v>
      </c>
      <c r="Q1205" s="16">
        <v>19499</v>
      </c>
      <c r="R1205" s="17">
        <v>40</v>
      </c>
      <c r="S1205" s="18">
        <v>13454.309999999998</v>
      </c>
      <c r="T1205" s="19" t="s">
        <v>36</v>
      </c>
      <c r="U1205" s="20" t="s">
        <v>603</v>
      </c>
      <c r="V1205" s="22">
        <v>42</v>
      </c>
      <c r="W1205" s="22">
        <v>2</v>
      </c>
      <c r="X1205" s="23"/>
    </row>
    <row r="1206" spans="1:24" s="1" customFormat="1" ht="14.1" customHeight="1" x14ac:dyDescent="0.3">
      <c r="A1206" s="24" t="s">
        <v>23</v>
      </c>
      <c r="B1206" s="24" t="s">
        <v>1249</v>
      </c>
      <c r="C1206" s="12" t="s">
        <v>1636</v>
      </c>
      <c r="D1206" s="54"/>
      <c r="E1206" s="39" t="str">
        <f t="shared" si="21"/>
        <v>Еще фото</v>
      </c>
      <c r="F1206" s="13"/>
      <c r="G1206" s="24" t="s">
        <v>808</v>
      </c>
      <c r="H1206" s="24" t="s">
        <v>593</v>
      </c>
      <c r="I1206" s="24" t="s">
        <v>809</v>
      </c>
      <c r="J1206" s="14" t="s">
        <v>29</v>
      </c>
      <c r="K1206" s="15" t="s">
        <v>30</v>
      </c>
      <c r="L1206" s="57"/>
      <c r="M1206" s="14"/>
      <c r="N1206" s="14" t="s">
        <v>84</v>
      </c>
      <c r="O1206" s="14"/>
      <c r="P1206" s="15" t="s">
        <v>923</v>
      </c>
      <c r="Q1206" s="16">
        <v>19499</v>
      </c>
      <c r="R1206" s="17">
        <v>40</v>
      </c>
      <c r="S1206" s="18">
        <v>13454.309999999998</v>
      </c>
      <c r="T1206" s="19" t="s">
        <v>36</v>
      </c>
      <c r="U1206" s="20" t="s">
        <v>604</v>
      </c>
      <c r="V1206" s="22">
        <v>43</v>
      </c>
      <c r="W1206" s="22">
        <v>2</v>
      </c>
      <c r="X1206" s="23"/>
    </row>
    <row r="1207" spans="1:24" s="1" customFormat="1" ht="17.100000000000001" customHeight="1" x14ac:dyDescent="0.3">
      <c r="A1207" s="24" t="s">
        <v>23</v>
      </c>
      <c r="B1207" s="24" t="s">
        <v>1249</v>
      </c>
      <c r="C1207" s="12" t="s">
        <v>1636</v>
      </c>
      <c r="D1207" s="55"/>
      <c r="E1207" s="39" t="str">
        <f t="shared" si="21"/>
        <v>Еще фото</v>
      </c>
      <c r="F1207" s="13"/>
      <c r="G1207" s="24" t="s">
        <v>808</v>
      </c>
      <c r="H1207" s="24" t="s">
        <v>593</v>
      </c>
      <c r="I1207" s="24" t="s">
        <v>809</v>
      </c>
      <c r="J1207" s="14" t="s">
        <v>29</v>
      </c>
      <c r="K1207" s="15" t="s">
        <v>30</v>
      </c>
      <c r="L1207" s="58"/>
      <c r="M1207" s="14"/>
      <c r="N1207" s="14" t="s">
        <v>84</v>
      </c>
      <c r="O1207" s="14"/>
      <c r="P1207" s="15" t="s">
        <v>923</v>
      </c>
      <c r="Q1207" s="16">
        <v>19499</v>
      </c>
      <c r="R1207" s="17">
        <v>40</v>
      </c>
      <c r="S1207" s="18">
        <v>13454.309999999998</v>
      </c>
      <c r="T1207" s="19" t="s">
        <v>36</v>
      </c>
      <c r="U1207" s="20" t="s">
        <v>607</v>
      </c>
      <c r="V1207" s="28">
        <v>44.5</v>
      </c>
      <c r="W1207" s="22">
        <v>1</v>
      </c>
      <c r="X1207" s="23"/>
    </row>
    <row r="1208" spans="1:24" s="1" customFormat="1" ht="26.1" customHeight="1" x14ac:dyDescent="0.3">
      <c r="A1208" s="11" t="s">
        <v>23</v>
      </c>
      <c r="B1208" s="11" t="s">
        <v>1637</v>
      </c>
      <c r="C1208" s="12" t="s">
        <v>1638</v>
      </c>
      <c r="D1208" s="53"/>
      <c r="E1208" s="39" t="str">
        <f>HYPERLINK("https://www.google.ru/search?q=3027342-009&amp;newwindow=1&amp;tbm=isch","Еще фото")</f>
        <v>Еще фото</v>
      </c>
      <c r="F1208" s="13"/>
      <c r="G1208" s="11" t="s">
        <v>808</v>
      </c>
      <c r="H1208" s="11" t="s">
        <v>593</v>
      </c>
      <c r="I1208" s="14" t="s">
        <v>809</v>
      </c>
      <c r="J1208" s="14" t="s">
        <v>29</v>
      </c>
      <c r="K1208" s="15" t="s">
        <v>64</v>
      </c>
      <c r="L1208" s="56" t="s">
        <v>1639</v>
      </c>
      <c r="M1208" s="14"/>
      <c r="N1208" s="14" t="s">
        <v>84</v>
      </c>
      <c r="O1208" s="14"/>
      <c r="P1208" s="15" t="s">
        <v>1640</v>
      </c>
      <c r="Q1208" s="16">
        <v>16599</v>
      </c>
      <c r="R1208" s="17">
        <v>40</v>
      </c>
      <c r="S1208" s="18">
        <v>11453.31</v>
      </c>
      <c r="T1208" s="19" t="s">
        <v>36</v>
      </c>
      <c r="U1208" s="20" t="s">
        <v>820</v>
      </c>
      <c r="V1208" s="22">
        <v>36</v>
      </c>
      <c r="W1208" s="22">
        <v>1</v>
      </c>
      <c r="X1208" s="23"/>
    </row>
    <row r="1209" spans="1:24" s="1" customFormat="1" ht="26.1" customHeight="1" x14ac:dyDescent="0.3">
      <c r="A1209" s="24" t="s">
        <v>23</v>
      </c>
      <c r="B1209" s="24" t="s">
        <v>1637</v>
      </c>
      <c r="C1209" s="12" t="s">
        <v>1638</v>
      </c>
      <c r="D1209" s="54"/>
      <c r="E1209" s="39" t="str">
        <f>HYPERLINK("https://www.google.ru/search?q=3027342-009&amp;newwindow=1&amp;tbm=isch","Еще фото")</f>
        <v>Еще фото</v>
      </c>
      <c r="F1209" s="13"/>
      <c r="G1209" s="24" t="s">
        <v>808</v>
      </c>
      <c r="H1209" s="24" t="s">
        <v>593</v>
      </c>
      <c r="I1209" s="24" t="s">
        <v>809</v>
      </c>
      <c r="J1209" s="14" t="s">
        <v>29</v>
      </c>
      <c r="K1209" s="15" t="s">
        <v>64</v>
      </c>
      <c r="L1209" s="57"/>
      <c r="M1209" s="14"/>
      <c r="N1209" s="14" t="s">
        <v>84</v>
      </c>
      <c r="O1209" s="14"/>
      <c r="P1209" s="15" t="s">
        <v>1640</v>
      </c>
      <c r="Q1209" s="16">
        <v>16599</v>
      </c>
      <c r="R1209" s="17">
        <v>40</v>
      </c>
      <c r="S1209" s="18">
        <v>11453.31</v>
      </c>
      <c r="T1209" s="19" t="s">
        <v>36</v>
      </c>
      <c r="U1209" s="20" t="s">
        <v>598</v>
      </c>
      <c r="V1209" s="22">
        <v>37</v>
      </c>
      <c r="W1209" s="22">
        <v>2</v>
      </c>
      <c r="X1209" s="23"/>
    </row>
    <row r="1210" spans="1:24" s="1" customFormat="1" ht="26.1" customHeight="1" x14ac:dyDescent="0.3">
      <c r="A1210" s="24" t="s">
        <v>23</v>
      </c>
      <c r="B1210" s="24" t="s">
        <v>1637</v>
      </c>
      <c r="C1210" s="12" t="s">
        <v>1638</v>
      </c>
      <c r="D1210" s="54"/>
      <c r="E1210" s="39" t="str">
        <f>HYPERLINK("https://www.google.ru/search?q=3027342-009&amp;newwindow=1&amp;tbm=isch","Еще фото")</f>
        <v>Еще фото</v>
      </c>
      <c r="F1210" s="13"/>
      <c r="G1210" s="24" t="s">
        <v>808</v>
      </c>
      <c r="H1210" s="24" t="s">
        <v>593</v>
      </c>
      <c r="I1210" s="24" t="s">
        <v>809</v>
      </c>
      <c r="J1210" s="14" t="s">
        <v>29</v>
      </c>
      <c r="K1210" s="15" t="s">
        <v>64</v>
      </c>
      <c r="L1210" s="57"/>
      <c r="M1210" s="14"/>
      <c r="N1210" s="14" t="s">
        <v>84</v>
      </c>
      <c r="O1210" s="14"/>
      <c r="P1210" s="15" t="s">
        <v>1640</v>
      </c>
      <c r="Q1210" s="16">
        <v>16599</v>
      </c>
      <c r="R1210" s="17">
        <v>40</v>
      </c>
      <c r="S1210" s="18">
        <v>11453.31</v>
      </c>
      <c r="T1210" s="19" t="s">
        <v>36</v>
      </c>
      <c r="U1210" s="20" t="s">
        <v>599</v>
      </c>
      <c r="V1210" s="28">
        <v>37.5</v>
      </c>
      <c r="W1210" s="22">
        <v>2</v>
      </c>
      <c r="X1210" s="23"/>
    </row>
    <row r="1211" spans="1:24" s="1" customFormat="1" ht="26.1" customHeight="1" x14ac:dyDescent="0.3">
      <c r="A1211" s="24" t="s">
        <v>23</v>
      </c>
      <c r="B1211" s="24" t="s">
        <v>1637</v>
      </c>
      <c r="C1211" s="12" t="s">
        <v>1638</v>
      </c>
      <c r="D1211" s="55"/>
      <c r="E1211" s="39" t="str">
        <f>HYPERLINK("https://www.google.ru/search?q=3027342-009&amp;newwindow=1&amp;tbm=isch","Еще фото")</f>
        <v>Еще фото</v>
      </c>
      <c r="F1211" s="13"/>
      <c r="G1211" s="24" t="s">
        <v>808</v>
      </c>
      <c r="H1211" s="24" t="s">
        <v>593</v>
      </c>
      <c r="I1211" s="24" t="s">
        <v>809</v>
      </c>
      <c r="J1211" s="14" t="s">
        <v>29</v>
      </c>
      <c r="K1211" s="15" t="s">
        <v>64</v>
      </c>
      <c r="L1211" s="58"/>
      <c r="M1211" s="14"/>
      <c r="N1211" s="14" t="s">
        <v>84</v>
      </c>
      <c r="O1211" s="14"/>
      <c r="P1211" s="15" t="s">
        <v>1640</v>
      </c>
      <c r="Q1211" s="16">
        <v>16599</v>
      </c>
      <c r="R1211" s="17">
        <v>40</v>
      </c>
      <c r="S1211" s="18">
        <v>11453.31</v>
      </c>
      <c r="T1211" s="19" t="s">
        <v>36</v>
      </c>
      <c r="U1211" s="20" t="s">
        <v>600</v>
      </c>
      <c r="V1211" s="22">
        <v>38</v>
      </c>
      <c r="W1211" s="22">
        <v>1</v>
      </c>
      <c r="X1211" s="23"/>
    </row>
    <row r="1212" spans="1:24" s="1" customFormat="1" ht="12.95" customHeight="1" x14ac:dyDescent="0.3">
      <c r="A1212" s="11" t="s">
        <v>23</v>
      </c>
      <c r="B1212" s="11" t="s">
        <v>1440</v>
      </c>
      <c r="C1212" s="12" t="s">
        <v>1641</v>
      </c>
      <c r="D1212" s="53"/>
      <c r="E1212" s="39" t="str">
        <f t="shared" ref="E1212:E1219" si="22">HYPERLINK("https://www.google.ru/search?q=3027381-200&amp;newwindow=1&amp;tbm=isch","Еще фото")</f>
        <v>Еще фото</v>
      </c>
      <c r="F1212" s="13" t="s">
        <v>98</v>
      </c>
      <c r="G1212" s="11" t="s">
        <v>592</v>
      </c>
      <c r="H1212" s="11" t="s">
        <v>593</v>
      </c>
      <c r="I1212" s="14" t="s">
        <v>809</v>
      </c>
      <c r="J1212" s="14" t="s">
        <v>595</v>
      </c>
      <c r="K1212" s="15" t="s">
        <v>30</v>
      </c>
      <c r="L1212" s="56" t="s">
        <v>1442</v>
      </c>
      <c r="M1212" s="14"/>
      <c r="N1212" s="14" t="s">
        <v>249</v>
      </c>
      <c r="O1212" s="14"/>
      <c r="P1212" s="15" t="s">
        <v>870</v>
      </c>
      <c r="Q1212" s="16">
        <v>19099</v>
      </c>
      <c r="R1212" s="17">
        <v>40</v>
      </c>
      <c r="S1212" s="18">
        <v>13178.309999999998</v>
      </c>
      <c r="T1212" s="19" t="s">
        <v>36</v>
      </c>
      <c r="U1212" s="35" t="s">
        <v>599</v>
      </c>
      <c r="V1212" s="28">
        <v>39.5</v>
      </c>
      <c r="W1212" s="22">
        <v>2</v>
      </c>
      <c r="X1212" s="23"/>
    </row>
    <row r="1213" spans="1:24" s="1" customFormat="1" ht="12.95" customHeight="1" x14ac:dyDescent="0.3">
      <c r="A1213" s="24" t="s">
        <v>23</v>
      </c>
      <c r="B1213" s="24" t="s">
        <v>1440</v>
      </c>
      <c r="C1213" s="12" t="s">
        <v>1641</v>
      </c>
      <c r="D1213" s="54"/>
      <c r="E1213" s="39" t="str">
        <f t="shared" si="22"/>
        <v>Еще фото</v>
      </c>
      <c r="F1213" s="13" t="s">
        <v>98</v>
      </c>
      <c r="G1213" s="24" t="s">
        <v>592</v>
      </c>
      <c r="H1213" s="24" t="s">
        <v>593</v>
      </c>
      <c r="I1213" s="24" t="s">
        <v>809</v>
      </c>
      <c r="J1213" s="14" t="s">
        <v>595</v>
      </c>
      <c r="K1213" s="15" t="s">
        <v>30</v>
      </c>
      <c r="L1213" s="57"/>
      <c r="M1213" s="14"/>
      <c r="N1213" s="14" t="s">
        <v>249</v>
      </c>
      <c r="O1213" s="14"/>
      <c r="P1213" s="15" t="s">
        <v>870</v>
      </c>
      <c r="Q1213" s="16">
        <v>19099</v>
      </c>
      <c r="R1213" s="17">
        <v>40</v>
      </c>
      <c r="S1213" s="18">
        <v>13178.309999999998</v>
      </c>
      <c r="T1213" s="19" t="s">
        <v>36</v>
      </c>
      <c r="U1213" s="20" t="s">
        <v>600</v>
      </c>
      <c r="V1213" s="22">
        <v>40</v>
      </c>
      <c r="W1213" s="22">
        <v>2</v>
      </c>
      <c r="X1213" s="23"/>
    </row>
    <row r="1214" spans="1:24" s="1" customFormat="1" ht="12.95" customHeight="1" x14ac:dyDescent="0.3">
      <c r="A1214" s="24" t="s">
        <v>23</v>
      </c>
      <c r="B1214" s="24" t="s">
        <v>1440</v>
      </c>
      <c r="C1214" s="12" t="s">
        <v>1641</v>
      </c>
      <c r="D1214" s="54"/>
      <c r="E1214" s="39" t="str">
        <f t="shared" si="22"/>
        <v>Еще фото</v>
      </c>
      <c r="F1214" s="13" t="s">
        <v>98</v>
      </c>
      <c r="G1214" s="24" t="s">
        <v>592</v>
      </c>
      <c r="H1214" s="24" t="s">
        <v>593</v>
      </c>
      <c r="I1214" s="24" t="s">
        <v>809</v>
      </c>
      <c r="J1214" s="14" t="s">
        <v>595</v>
      </c>
      <c r="K1214" s="15" t="s">
        <v>30</v>
      </c>
      <c r="L1214" s="57"/>
      <c r="M1214" s="14"/>
      <c r="N1214" s="14" t="s">
        <v>249</v>
      </c>
      <c r="O1214" s="14"/>
      <c r="P1214" s="15" t="s">
        <v>870</v>
      </c>
      <c r="Q1214" s="16">
        <v>19099</v>
      </c>
      <c r="R1214" s="17">
        <v>40</v>
      </c>
      <c r="S1214" s="18">
        <v>13178.309999999998</v>
      </c>
      <c r="T1214" s="19" t="s">
        <v>36</v>
      </c>
      <c r="U1214" s="20" t="s">
        <v>601</v>
      </c>
      <c r="V1214" s="22">
        <v>41</v>
      </c>
      <c r="W1214" s="22">
        <v>2</v>
      </c>
      <c r="X1214" s="23"/>
    </row>
    <row r="1215" spans="1:24" s="1" customFormat="1" ht="12.95" customHeight="1" x14ac:dyDescent="0.3">
      <c r="A1215" s="24" t="s">
        <v>23</v>
      </c>
      <c r="B1215" s="24" t="s">
        <v>1440</v>
      </c>
      <c r="C1215" s="12" t="s">
        <v>1641</v>
      </c>
      <c r="D1215" s="54"/>
      <c r="E1215" s="39" t="str">
        <f t="shared" si="22"/>
        <v>Еще фото</v>
      </c>
      <c r="F1215" s="13" t="s">
        <v>98</v>
      </c>
      <c r="G1215" s="24" t="s">
        <v>592</v>
      </c>
      <c r="H1215" s="24" t="s">
        <v>593</v>
      </c>
      <c r="I1215" s="24" t="s">
        <v>809</v>
      </c>
      <c r="J1215" s="14" t="s">
        <v>595</v>
      </c>
      <c r="K1215" s="15" t="s">
        <v>30</v>
      </c>
      <c r="L1215" s="57"/>
      <c r="M1215" s="14"/>
      <c r="N1215" s="14" t="s">
        <v>249</v>
      </c>
      <c r="O1215" s="14"/>
      <c r="P1215" s="15" t="s">
        <v>870</v>
      </c>
      <c r="Q1215" s="16">
        <v>19099</v>
      </c>
      <c r="R1215" s="17">
        <v>40</v>
      </c>
      <c r="S1215" s="18">
        <v>13178.309999999998</v>
      </c>
      <c r="T1215" s="19" t="s">
        <v>36</v>
      </c>
      <c r="U1215" s="20" t="s">
        <v>602</v>
      </c>
      <c r="V1215" s="28">
        <v>41.5</v>
      </c>
      <c r="W1215" s="22">
        <v>16</v>
      </c>
      <c r="X1215" s="23"/>
    </row>
    <row r="1216" spans="1:24" s="1" customFormat="1" ht="12.95" customHeight="1" x14ac:dyDescent="0.3">
      <c r="A1216" s="24" t="s">
        <v>23</v>
      </c>
      <c r="B1216" s="24" t="s">
        <v>1440</v>
      </c>
      <c r="C1216" s="12" t="s">
        <v>1641</v>
      </c>
      <c r="D1216" s="54"/>
      <c r="E1216" s="39" t="str">
        <f t="shared" si="22"/>
        <v>Еще фото</v>
      </c>
      <c r="F1216" s="13" t="s">
        <v>98</v>
      </c>
      <c r="G1216" s="24" t="s">
        <v>592</v>
      </c>
      <c r="H1216" s="24" t="s">
        <v>593</v>
      </c>
      <c r="I1216" s="24" t="s">
        <v>809</v>
      </c>
      <c r="J1216" s="14" t="s">
        <v>595</v>
      </c>
      <c r="K1216" s="15" t="s">
        <v>30</v>
      </c>
      <c r="L1216" s="57"/>
      <c r="M1216" s="14"/>
      <c r="N1216" s="14" t="s">
        <v>249</v>
      </c>
      <c r="O1216" s="14"/>
      <c r="P1216" s="15" t="s">
        <v>870</v>
      </c>
      <c r="Q1216" s="16">
        <v>19099</v>
      </c>
      <c r="R1216" s="17">
        <v>40</v>
      </c>
      <c r="S1216" s="18">
        <v>13178.309999999998</v>
      </c>
      <c r="T1216" s="19" t="s">
        <v>36</v>
      </c>
      <c r="U1216" s="20" t="s">
        <v>603</v>
      </c>
      <c r="V1216" s="22">
        <v>42</v>
      </c>
      <c r="W1216" s="22">
        <v>9</v>
      </c>
      <c r="X1216" s="23"/>
    </row>
    <row r="1217" spans="1:24" s="1" customFormat="1" ht="12.95" customHeight="1" x14ac:dyDescent="0.3">
      <c r="A1217" s="24" t="s">
        <v>23</v>
      </c>
      <c r="B1217" s="24" t="s">
        <v>1440</v>
      </c>
      <c r="C1217" s="12" t="s">
        <v>1641</v>
      </c>
      <c r="D1217" s="54"/>
      <c r="E1217" s="39" t="str">
        <f t="shared" si="22"/>
        <v>Еще фото</v>
      </c>
      <c r="F1217" s="13" t="s">
        <v>98</v>
      </c>
      <c r="G1217" s="24" t="s">
        <v>592</v>
      </c>
      <c r="H1217" s="24" t="s">
        <v>593</v>
      </c>
      <c r="I1217" s="24" t="s">
        <v>809</v>
      </c>
      <c r="J1217" s="14" t="s">
        <v>595</v>
      </c>
      <c r="K1217" s="15" t="s">
        <v>30</v>
      </c>
      <c r="L1217" s="57"/>
      <c r="M1217" s="14"/>
      <c r="N1217" s="14" t="s">
        <v>249</v>
      </c>
      <c r="O1217" s="14"/>
      <c r="P1217" s="15" t="s">
        <v>870</v>
      </c>
      <c r="Q1217" s="16">
        <v>19099</v>
      </c>
      <c r="R1217" s="17">
        <v>40</v>
      </c>
      <c r="S1217" s="18">
        <v>13178.309999999998</v>
      </c>
      <c r="T1217" s="19" t="s">
        <v>36</v>
      </c>
      <c r="U1217" s="20" t="s">
        <v>604</v>
      </c>
      <c r="V1217" s="22">
        <v>43</v>
      </c>
      <c r="W1217" s="22">
        <v>2</v>
      </c>
      <c r="X1217" s="23"/>
    </row>
    <row r="1218" spans="1:24" s="1" customFormat="1" ht="12.95" customHeight="1" x14ac:dyDescent="0.3">
      <c r="A1218" s="24" t="s">
        <v>23</v>
      </c>
      <c r="B1218" s="24" t="s">
        <v>1440</v>
      </c>
      <c r="C1218" s="12" t="s">
        <v>1641</v>
      </c>
      <c r="D1218" s="54"/>
      <c r="E1218" s="39" t="str">
        <f t="shared" si="22"/>
        <v>Еще фото</v>
      </c>
      <c r="F1218" s="13" t="s">
        <v>98</v>
      </c>
      <c r="G1218" s="24" t="s">
        <v>592</v>
      </c>
      <c r="H1218" s="24" t="s">
        <v>593</v>
      </c>
      <c r="I1218" s="24" t="s">
        <v>809</v>
      </c>
      <c r="J1218" s="14" t="s">
        <v>595</v>
      </c>
      <c r="K1218" s="15" t="s">
        <v>30</v>
      </c>
      <c r="L1218" s="57"/>
      <c r="M1218" s="14"/>
      <c r="N1218" s="14" t="s">
        <v>249</v>
      </c>
      <c r="O1218" s="14"/>
      <c r="P1218" s="15" t="s">
        <v>870</v>
      </c>
      <c r="Q1218" s="16">
        <v>19099</v>
      </c>
      <c r="R1218" s="17">
        <v>40</v>
      </c>
      <c r="S1218" s="18">
        <v>13178.309999999998</v>
      </c>
      <c r="T1218" s="19" t="s">
        <v>36</v>
      </c>
      <c r="U1218" s="20" t="s">
        <v>605</v>
      </c>
      <c r="V1218" s="28">
        <v>43.5</v>
      </c>
      <c r="W1218" s="22">
        <v>2</v>
      </c>
      <c r="X1218" s="23"/>
    </row>
    <row r="1219" spans="1:24" s="1" customFormat="1" ht="18" customHeight="1" x14ac:dyDescent="0.3">
      <c r="A1219" s="24" t="s">
        <v>23</v>
      </c>
      <c r="B1219" s="24" t="s">
        <v>1440</v>
      </c>
      <c r="C1219" s="12" t="s">
        <v>1641</v>
      </c>
      <c r="D1219" s="55"/>
      <c r="E1219" s="39" t="str">
        <f t="shared" si="22"/>
        <v>Еще фото</v>
      </c>
      <c r="F1219" s="13" t="s">
        <v>98</v>
      </c>
      <c r="G1219" s="24" t="s">
        <v>592</v>
      </c>
      <c r="H1219" s="24" t="s">
        <v>593</v>
      </c>
      <c r="I1219" s="24" t="s">
        <v>809</v>
      </c>
      <c r="J1219" s="14" t="s">
        <v>595</v>
      </c>
      <c r="K1219" s="15" t="s">
        <v>30</v>
      </c>
      <c r="L1219" s="58"/>
      <c r="M1219" s="14"/>
      <c r="N1219" s="14" t="s">
        <v>249</v>
      </c>
      <c r="O1219" s="14"/>
      <c r="P1219" s="15" t="s">
        <v>870</v>
      </c>
      <c r="Q1219" s="16">
        <v>19099</v>
      </c>
      <c r="R1219" s="17">
        <v>40</v>
      </c>
      <c r="S1219" s="18">
        <v>13178.309999999998</v>
      </c>
      <c r="T1219" s="19" t="s">
        <v>36</v>
      </c>
      <c r="U1219" s="20" t="s">
        <v>606</v>
      </c>
      <c r="V1219" s="22">
        <v>44</v>
      </c>
      <c r="W1219" s="22">
        <v>1</v>
      </c>
      <c r="X1219" s="23"/>
    </row>
    <row r="1220" spans="1:24" s="1" customFormat="1" ht="17.100000000000001" customHeight="1" x14ac:dyDescent="0.3">
      <c r="A1220" s="11" t="s">
        <v>23</v>
      </c>
      <c r="B1220" s="11" t="s">
        <v>590</v>
      </c>
      <c r="C1220" s="12" t="s">
        <v>1642</v>
      </c>
      <c r="D1220" s="53"/>
      <c r="E1220" s="39" t="str">
        <f t="shared" ref="E1220:E1225" si="23">HYPERLINK("https://www.google.ru/search?q=3027382-001&amp;newwindow=1&amp;tbm=isch","Еще фото")</f>
        <v>Еще фото</v>
      </c>
      <c r="F1220" s="13" t="s">
        <v>98</v>
      </c>
      <c r="G1220" s="11" t="s">
        <v>592</v>
      </c>
      <c r="H1220" s="11" t="s">
        <v>593</v>
      </c>
      <c r="I1220" s="14" t="s">
        <v>809</v>
      </c>
      <c r="J1220" s="14" t="s">
        <v>595</v>
      </c>
      <c r="K1220" s="15" t="s">
        <v>30</v>
      </c>
      <c r="L1220" s="56" t="s">
        <v>596</v>
      </c>
      <c r="M1220" s="14"/>
      <c r="N1220" s="14" t="s">
        <v>33</v>
      </c>
      <c r="O1220" s="14"/>
      <c r="P1220" s="15" t="s">
        <v>870</v>
      </c>
      <c r="Q1220" s="16">
        <v>18399</v>
      </c>
      <c r="R1220" s="17">
        <v>40</v>
      </c>
      <c r="S1220" s="18">
        <v>12695.31</v>
      </c>
      <c r="T1220" s="19" t="s">
        <v>36</v>
      </c>
      <c r="U1220" s="20" t="s">
        <v>601</v>
      </c>
      <c r="V1220" s="22">
        <v>41</v>
      </c>
      <c r="W1220" s="22">
        <v>12</v>
      </c>
      <c r="X1220" s="23"/>
    </row>
    <row r="1221" spans="1:24" s="1" customFormat="1" ht="17.100000000000001" customHeight="1" x14ac:dyDescent="0.3">
      <c r="A1221" s="24" t="s">
        <v>23</v>
      </c>
      <c r="B1221" s="24" t="s">
        <v>590</v>
      </c>
      <c r="C1221" s="12" t="s">
        <v>1642</v>
      </c>
      <c r="D1221" s="54"/>
      <c r="E1221" s="39" t="str">
        <f t="shared" si="23"/>
        <v>Еще фото</v>
      </c>
      <c r="F1221" s="13" t="s">
        <v>98</v>
      </c>
      <c r="G1221" s="24" t="s">
        <v>592</v>
      </c>
      <c r="H1221" s="24" t="s">
        <v>593</v>
      </c>
      <c r="I1221" s="24" t="s">
        <v>809</v>
      </c>
      <c r="J1221" s="14" t="s">
        <v>595</v>
      </c>
      <c r="K1221" s="15" t="s">
        <v>30</v>
      </c>
      <c r="L1221" s="57"/>
      <c r="M1221" s="14"/>
      <c r="N1221" s="14" t="s">
        <v>33</v>
      </c>
      <c r="O1221" s="14"/>
      <c r="P1221" s="15" t="s">
        <v>870</v>
      </c>
      <c r="Q1221" s="16">
        <v>18399</v>
      </c>
      <c r="R1221" s="17">
        <v>40</v>
      </c>
      <c r="S1221" s="18">
        <v>12695.31</v>
      </c>
      <c r="T1221" s="19" t="s">
        <v>36</v>
      </c>
      <c r="U1221" s="20" t="s">
        <v>602</v>
      </c>
      <c r="V1221" s="28">
        <v>41.5</v>
      </c>
      <c r="W1221" s="22">
        <v>7</v>
      </c>
      <c r="X1221" s="23"/>
    </row>
    <row r="1222" spans="1:24" s="1" customFormat="1" ht="17.100000000000001" customHeight="1" x14ac:dyDescent="0.3">
      <c r="A1222" s="24" t="s">
        <v>23</v>
      </c>
      <c r="B1222" s="24" t="s">
        <v>590</v>
      </c>
      <c r="C1222" s="12" t="s">
        <v>1642</v>
      </c>
      <c r="D1222" s="54"/>
      <c r="E1222" s="39" t="str">
        <f t="shared" si="23"/>
        <v>Еще фото</v>
      </c>
      <c r="F1222" s="13" t="s">
        <v>98</v>
      </c>
      <c r="G1222" s="24" t="s">
        <v>592</v>
      </c>
      <c r="H1222" s="24" t="s">
        <v>593</v>
      </c>
      <c r="I1222" s="24" t="s">
        <v>809</v>
      </c>
      <c r="J1222" s="14" t="s">
        <v>595</v>
      </c>
      <c r="K1222" s="15" t="s">
        <v>30</v>
      </c>
      <c r="L1222" s="57"/>
      <c r="M1222" s="14"/>
      <c r="N1222" s="14" t="s">
        <v>33</v>
      </c>
      <c r="O1222" s="14"/>
      <c r="P1222" s="15" t="s">
        <v>870</v>
      </c>
      <c r="Q1222" s="16">
        <v>18399</v>
      </c>
      <c r="R1222" s="17">
        <v>40</v>
      </c>
      <c r="S1222" s="18">
        <v>12695.31</v>
      </c>
      <c r="T1222" s="19" t="s">
        <v>36</v>
      </c>
      <c r="U1222" s="20" t="s">
        <v>603</v>
      </c>
      <c r="V1222" s="22">
        <v>42</v>
      </c>
      <c r="W1222" s="22">
        <v>1</v>
      </c>
      <c r="X1222" s="23"/>
    </row>
    <row r="1223" spans="1:24" s="1" customFormat="1" ht="17.100000000000001" customHeight="1" x14ac:dyDescent="0.3">
      <c r="A1223" s="24" t="s">
        <v>23</v>
      </c>
      <c r="B1223" s="24" t="s">
        <v>590</v>
      </c>
      <c r="C1223" s="12" t="s">
        <v>1642</v>
      </c>
      <c r="D1223" s="54"/>
      <c r="E1223" s="39" t="str">
        <f t="shared" si="23"/>
        <v>Еще фото</v>
      </c>
      <c r="F1223" s="13" t="s">
        <v>98</v>
      </c>
      <c r="G1223" s="24" t="s">
        <v>592</v>
      </c>
      <c r="H1223" s="24" t="s">
        <v>593</v>
      </c>
      <c r="I1223" s="24" t="s">
        <v>809</v>
      </c>
      <c r="J1223" s="14" t="s">
        <v>595</v>
      </c>
      <c r="K1223" s="15" t="s">
        <v>30</v>
      </c>
      <c r="L1223" s="57"/>
      <c r="M1223" s="14"/>
      <c r="N1223" s="14" t="s">
        <v>33</v>
      </c>
      <c r="O1223" s="14"/>
      <c r="P1223" s="15" t="s">
        <v>870</v>
      </c>
      <c r="Q1223" s="16">
        <v>18399</v>
      </c>
      <c r="R1223" s="17">
        <v>40</v>
      </c>
      <c r="S1223" s="18">
        <v>12695.31</v>
      </c>
      <c r="T1223" s="19" t="s">
        <v>36</v>
      </c>
      <c r="U1223" s="20" t="s">
        <v>604</v>
      </c>
      <c r="V1223" s="22">
        <v>43</v>
      </c>
      <c r="W1223" s="22">
        <v>10</v>
      </c>
      <c r="X1223" s="23"/>
    </row>
    <row r="1224" spans="1:24" s="1" customFormat="1" ht="17.100000000000001" customHeight="1" x14ac:dyDescent="0.3">
      <c r="A1224" s="24" t="s">
        <v>23</v>
      </c>
      <c r="B1224" s="24" t="s">
        <v>590</v>
      </c>
      <c r="C1224" s="12" t="s">
        <v>1642</v>
      </c>
      <c r="D1224" s="54"/>
      <c r="E1224" s="39" t="str">
        <f t="shared" si="23"/>
        <v>Еще фото</v>
      </c>
      <c r="F1224" s="13" t="s">
        <v>98</v>
      </c>
      <c r="G1224" s="24" t="s">
        <v>592</v>
      </c>
      <c r="H1224" s="24" t="s">
        <v>593</v>
      </c>
      <c r="I1224" s="24" t="s">
        <v>809</v>
      </c>
      <c r="J1224" s="14" t="s">
        <v>595</v>
      </c>
      <c r="K1224" s="15" t="s">
        <v>30</v>
      </c>
      <c r="L1224" s="57"/>
      <c r="M1224" s="14"/>
      <c r="N1224" s="14" t="s">
        <v>33</v>
      </c>
      <c r="O1224" s="14"/>
      <c r="P1224" s="15" t="s">
        <v>870</v>
      </c>
      <c r="Q1224" s="16">
        <v>18399</v>
      </c>
      <c r="R1224" s="17">
        <v>40</v>
      </c>
      <c r="S1224" s="18">
        <v>12695.31</v>
      </c>
      <c r="T1224" s="19" t="s">
        <v>36</v>
      </c>
      <c r="U1224" s="20" t="s">
        <v>605</v>
      </c>
      <c r="V1224" s="28">
        <v>43.5</v>
      </c>
      <c r="W1224" s="22">
        <v>5</v>
      </c>
      <c r="X1224" s="23"/>
    </row>
    <row r="1225" spans="1:24" s="1" customFormat="1" ht="21.95" customHeight="1" x14ac:dyDescent="0.3">
      <c r="A1225" s="24" t="s">
        <v>23</v>
      </c>
      <c r="B1225" s="24" t="s">
        <v>590</v>
      </c>
      <c r="C1225" s="12" t="s">
        <v>1642</v>
      </c>
      <c r="D1225" s="55"/>
      <c r="E1225" s="39" t="str">
        <f t="shared" si="23"/>
        <v>Еще фото</v>
      </c>
      <c r="F1225" s="13" t="s">
        <v>98</v>
      </c>
      <c r="G1225" s="24" t="s">
        <v>592</v>
      </c>
      <c r="H1225" s="24" t="s">
        <v>593</v>
      </c>
      <c r="I1225" s="24" t="s">
        <v>809</v>
      </c>
      <c r="J1225" s="14" t="s">
        <v>595</v>
      </c>
      <c r="K1225" s="15" t="s">
        <v>30</v>
      </c>
      <c r="L1225" s="58"/>
      <c r="M1225" s="14"/>
      <c r="N1225" s="14" t="s">
        <v>33</v>
      </c>
      <c r="O1225" s="14"/>
      <c r="P1225" s="15" t="s">
        <v>870</v>
      </c>
      <c r="Q1225" s="16">
        <v>18399</v>
      </c>
      <c r="R1225" s="17">
        <v>40</v>
      </c>
      <c r="S1225" s="18">
        <v>12695.31</v>
      </c>
      <c r="T1225" s="19" t="s">
        <v>36</v>
      </c>
      <c r="U1225" s="20" t="s">
        <v>606</v>
      </c>
      <c r="V1225" s="22">
        <v>44</v>
      </c>
      <c r="W1225" s="22">
        <v>4</v>
      </c>
      <c r="X1225" s="23"/>
    </row>
    <row r="1226" spans="1:24" s="1" customFormat="1" ht="11.1" customHeight="1" x14ac:dyDescent="0.3">
      <c r="A1226" s="11" t="s">
        <v>23</v>
      </c>
      <c r="B1226" s="11" t="s">
        <v>590</v>
      </c>
      <c r="C1226" s="12" t="s">
        <v>1643</v>
      </c>
      <c r="D1226" s="53"/>
      <c r="E1226" s="39" t="str">
        <f t="shared" ref="E1226:E1234" si="24">HYPERLINK("https://www.google.ru/search?q=3027382-200&amp;newwindow=1&amp;tbm=isch","Еще фото")</f>
        <v>Еще фото</v>
      </c>
      <c r="F1226" s="13" t="s">
        <v>310</v>
      </c>
      <c r="G1226" s="11" t="s">
        <v>592</v>
      </c>
      <c r="H1226" s="11" t="s">
        <v>593</v>
      </c>
      <c r="I1226" s="14" t="s">
        <v>809</v>
      </c>
      <c r="J1226" s="14" t="s">
        <v>595</v>
      </c>
      <c r="K1226" s="15" t="s">
        <v>30</v>
      </c>
      <c r="L1226" s="56" t="s">
        <v>596</v>
      </c>
      <c r="M1226" s="14"/>
      <c r="N1226" s="14" t="s">
        <v>249</v>
      </c>
      <c r="O1226" s="14"/>
      <c r="P1226" s="15" t="s">
        <v>870</v>
      </c>
      <c r="Q1226" s="16">
        <v>18399</v>
      </c>
      <c r="R1226" s="17">
        <v>40</v>
      </c>
      <c r="S1226" s="18">
        <v>12695.31</v>
      </c>
      <c r="T1226" s="19" t="s">
        <v>36</v>
      </c>
      <c r="U1226" s="20" t="s">
        <v>599</v>
      </c>
      <c r="V1226" s="28">
        <v>39.5</v>
      </c>
      <c r="W1226" s="22">
        <v>4</v>
      </c>
      <c r="X1226" s="23"/>
    </row>
    <row r="1227" spans="1:24" s="1" customFormat="1" ht="11.1" customHeight="1" x14ac:dyDescent="0.3">
      <c r="A1227" s="24" t="s">
        <v>23</v>
      </c>
      <c r="B1227" s="24" t="s">
        <v>590</v>
      </c>
      <c r="C1227" s="12" t="s">
        <v>1643</v>
      </c>
      <c r="D1227" s="54"/>
      <c r="E1227" s="39" t="str">
        <f t="shared" si="24"/>
        <v>Еще фото</v>
      </c>
      <c r="F1227" s="13" t="s">
        <v>310</v>
      </c>
      <c r="G1227" s="24" t="s">
        <v>592</v>
      </c>
      <c r="H1227" s="24" t="s">
        <v>593</v>
      </c>
      <c r="I1227" s="24" t="s">
        <v>809</v>
      </c>
      <c r="J1227" s="14" t="s">
        <v>595</v>
      </c>
      <c r="K1227" s="15" t="s">
        <v>30</v>
      </c>
      <c r="L1227" s="57"/>
      <c r="M1227" s="14"/>
      <c r="N1227" s="14" t="s">
        <v>249</v>
      </c>
      <c r="O1227" s="14"/>
      <c r="P1227" s="15" t="s">
        <v>870</v>
      </c>
      <c r="Q1227" s="16">
        <v>18399</v>
      </c>
      <c r="R1227" s="17">
        <v>40</v>
      </c>
      <c r="S1227" s="18">
        <v>12695.31</v>
      </c>
      <c r="T1227" s="19" t="s">
        <v>36</v>
      </c>
      <c r="U1227" s="20" t="s">
        <v>600</v>
      </c>
      <c r="V1227" s="22">
        <v>40</v>
      </c>
      <c r="W1227" s="22">
        <v>13</v>
      </c>
      <c r="X1227" s="23"/>
    </row>
    <row r="1228" spans="1:24" s="1" customFormat="1" ht="11.1" customHeight="1" x14ac:dyDescent="0.3">
      <c r="A1228" s="24" t="s">
        <v>23</v>
      </c>
      <c r="B1228" s="24" t="s">
        <v>590</v>
      </c>
      <c r="C1228" s="12" t="s">
        <v>1643</v>
      </c>
      <c r="D1228" s="54"/>
      <c r="E1228" s="39" t="str">
        <f t="shared" si="24"/>
        <v>Еще фото</v>
      </c>
      <c r="F1228" s="13" t="s">
        <v>310</v>
      </c>
      <c r="G1228" s="24" t="s">
        <v>592</v>
      </c>
      <c r="H1228" s="24" t="s">
        <v>593</v>
      </c>
      <c r="I1228" s="24" t="s">
        <v>809</v>
      </c>
      <c r="J1228" s="14" t="s">
        <v>595</v>
      </c>
      <c r="K1228" s="15" t="s">
        <v>30</v>
      </c>
      <c r="L1228" s="57"/>
      <c r="M1228" s="14"/>
      <c r="N1228" s="14" t="s">
        <v>249</v>
      </c>
      <c r="O1228" s="14"/>
      <c r="P1228" s="15" t="s">
        <v>870</v>
      </c>
      <c r="Q1228" s="16">
        <v>18399</v>
      </c>
      <c r="R1228" s="17">
        <v>40</v>
      </c>
      <c r="S1228" s="18">
        <v>12695.31</v>
      </c>
      <c r="T1228" s="19" t="s">
        <v>36</v>
      </c>
      <c r="U1228" s="20" t="s">
        <v>601</v>
      </c>
      <c r="V1228" s="22">
        <v>41</v>
      </c>
      <c r="W1228" s="22">
        <v>11</v>
      </c>
      <c r="X1228" s="23"/>
    </row>
    <row r="1229" spans="1:24" s="1" customFormat="1" ht="11.1" customHeight="1" x14ac:dyDescent="0.3">
      <c r="A1229" s="24" t="s">
        <v>23</v>
      </c>
      <c r="B1229" s="24" t="s">
        <v>590</v>
      </c>
      <c r="C1229" s="12" t="s">
        <v>1643</v>
      </c>
      <c r="D1229" s="54"/>
      <c r="E1229" s="39" t="str">
        <f t="shared" si="24"/>
        <v>Еще фото</v>
      </c>
      <c r="F1229" s="13" t="s">
        <v>310</v>
      </c>
      <c r="G1229" s="24" t="s">
        <v>592</v>
      </c>
      <c r="H1229" s="24" t="s">
        <v>593</v>
      </c>
      <c r="I1229" s="24" t="s">
        <v>809</v>
      </c>
      <c r="J1229" s="14" t="s">
        <v>595</v>
      </c>
      <c r="K1229" s="15" t="s">
        <v>30</v>
      </c>
      <c r="L1229" s="57"/>
      <c r="M1229" s="14"/>
      <c r="N1229" s="14" t="s">
        <v>249</v>
      </c>
      <c r="O1229" s="14"/>
      <c r="P1229" s="15" t="s">
        <v>870</v>
      </c>
      <c r="Q1229" s="16">
        <v>18399</v>
      </c>
      <c r="R1229" s="17">
        <v>40</v>
      </c>
      <c r="S1229" s="18">
        <v>12695.31</v>
      </c>
      <c r="T1229" s="19" t="s">
        <v>36</v>
      </c>
      <c r="U1229" s="20" t="s">
        <v>602</v>
      </c>
      <c r="V1229" s="28">
        <v>41.5</v>
      </c>
      <c r="W1229" s="22">
        <v>32</v>
      </c>
      <c r="X1229" s="23"/>
    </row>
    <row r="1230" spans="1:24" s="1" customFormat="1" ht="11.1" customHeight="1" x14ac:dyDescent="0.3">
      <c r="A1230" s="24" t="s">
        <v>23</v>
      </c>
      <c r="B1230" s="24" t="s">
        <v>590</v>
      </c>
      <c r="C1230" s="12" t="s">
        <v>1643</v>
      </c>
      <c r="D1230" s="54"/>
      <c r="E1230" s="39" t="str">
        <f t="shared" si="24"/>
        <v>Еще фото</v>
      </c>
      <c r="F1230" s="13" t="s">
        <v>310</v>
      </c>
      <c r="G1230" s="24" t="s">
        <v>592</v>
      </c>
      <c r="H1230" s="24" t="s">
        <v>593</v>
      </c>
      <c r="I1230" s="24" t="s">
        <v>809</v>
      </c>
      <c r="J1230" s="14" t="s">
        <v>595</v>
      </c>
      <c r="K1230" s="15" t="s">
        <v>30</v>
      </c>
      <c r="L1230" s="57"/>
      <c r="M1230" s="14"/>
      <c r="N1230" s="14" t="s">
        <v>249</v>
      </c>
      <c r="O1230" s="14"/>
      <c r="P1230" s="15" t="s">
        <v>870</v>
      </c>
      <c r="Q1230" s="16">
        <v>18399</v>
      </c>
      <c r="R1230" s="17">
        <v>40</v>
      </c>
      <c r="S1230" s="18">
        <v>12695.31</v>
      </c>
      <c r="T1230" s="19" t="s">
        <v>36</v>
      </c>
      <c r="U1230" s="20" t="s">
        <v>603</v>
      </c>
      <c r="V1230" s="22">
        <v>42</v>
      </c>
      <c r="W1230" s="22">
        <v>11</v>
      </c>
      <c r="X1230" s="23"/>
    </row>
    <row r="1231" spans="1:24" s="1" customFormat="1" ht="11.1" customHeight="1" x14ac:dyDescent="0.3">
      <c r="A1231" s="24" t="s">
        <v>23</v>
      </c>
      <c r="B1231" s="24" t="s">
        <v>590</v>
      </c>
      <c r="C1231" s="12" t="s">
        <v>1643</v>
      </c>
      <c r="D1231" s="54"/>
      <c r="E1231" s="39" t="str">
        <f t="shared" si="24"/>
        <v>Еще фото</v>
      </c>
      <c r="F1231" s="13" t="s">
        <v>310</v>
      </c>
      <c r="G1231" s="24" t="s">
        <v>592</v>
      </c>
      <c r="H1231" s="24" t="s">
        <v>593</v>
      </c>
      <c r="I1231" s="24" t="s">
        <v>809</v>
      </c>
      <c r="J1231" s="14" t="s">
        <v>595</v>
      </c>
      <c r="K1231" s="15" t="s">
        <v>30</v>
      </c>
      <c r="L1231" s="57"/>
      <c r="M1231" s="14"/>
      <c r="N1231" s="14" t="s">
        <v>249</v>
      </c>
      <c r="O1231" s="14"/>
      <c r="P1231" s="15" t="s">
        <v>870</v>
      </c>
      <c r="Q1231" s="16">
        <v>18399</v>
      </c>
      <c r="R1231" s="17">
        <v>40</v>
      </c>
      <c r="S1231" s="18">
        <v>12695.31</v>
      </c>
      <c r="T1231" s="19" t="s">
        <v>36</v>
      </c>
      <c r="U1231" s="20" t="s">
        <v>604</v>
      </c>
      <c r="V1231" s="22">
        <v>43</v>
      </c>
      <c r="W1231" s="22">
        <v>5</v>
      </c>
      <c r="X1231" s="23"/>
    </row>
    <row r="1232" spans="1:24" s="1" customFormat="1" ht="11.1" customHeight="1" x14ac:dyDescent="0.3">
      <c r="A1232" s="24" t="s">
        <v>23</v>
      </c>
      <c r="B1232" s="24" t="s">
        <v>590</v>
      </c>
      <c r="C1232" s="12" t="s">
        <v>1643</v>
      </c>
      <c r="D1232" s="54"/>
      <c r="E1232" s="39" t="str">
        <f t="shared" si="24"/>
        <v>Еще фото</v>
      </c>
      <c r="F1232" s="13" t="s">
        <v>310</v>
      </c>
      <c r="G1232" s="24" t="s">
        <v>592</v>
      </c>
      <c r="H1232" s="24" t="s">
        <v>593</v>
      </c>
      <c r="I1232" s="24" t="s">
        <v>809</v>
      </c>
      <c r="J1232" s="14" t="s">
        <v>595</v>
      </c>
      <c r="K1232" s="15" t="s">
        <v>30</v>
      </c>
      <c r="L1232" s="57"/>
      <c r="M1232" s="14"/>
      <c r="N1232" s="14" t="s">
        <v>249</v>
      </c>
      <c r="O1232" s="14"/>
      <c r="P1232" s="15" t="s">
        <v>870</v>
      </c>
      <c r="Q1232" s="16">
        <v>18399</v>
      </c>
      <c r="R1232" s="17">
        <v>40</v>
      </c>
      <c r="S1232" s="18">
        <v>12695.31</v>
      </c>
      <c r="T1232" s="19" t="s">
        <v>36</v>
      </c>
      <c r="U1232" s="20" t="s">
        <v>605</v>
      </c>
      <c r="V1232" s="28">
        <v>43.5</v>
      </c>
      <c r="W1232" s="22">
        <v>9</v>
      </c>
      <c r="X1232" s="23"/>
    </row>
    <row r="1233" spans="1:24" s="1" customFormat="1" ht="11.1" customHeight="1" x14ac:dyDescent="0.3">
      <c r="A1233" s="24" t="s">
        <v>23</v>
      </c>
      <c r="B1233" s="24" t="s">
        <v>590</v>
      </c>
      <c r="C1233" s="12" t="s">
        <v>1643</v>
      </c>
      <c r="D1233" s="54"/>
      <c r="E1233" s="39" t="str">
        <f t="shared" si="24"/>
        <v>Еще фото</v>
      </c>
      <c r="F1233" s="13" t="s">
        <v>310</v>
      </c>
      <c r="G1233" s="24" t="s">
        <v>592</v>
      </c>
      <c r="H1233" s="24" t="s">
        <v>593</v>
      </c>
      <c r="I1233" s="24" t="s">
        <v>809</v>
      </c>
      <c r="J1233" s="14" t="s">
        <v>595</v>
      </c>
      <c r="K1233" s="15" t="s">
        <v>30</v>
      </c>
      <c r="L1233" s="57"/>
      <c r="M1233" s="14"/>
      <c r="N1233" s="14" t="s">
        <v>249</v>
      </c>
      <c r="O1233" s="14"/>
      <c r="P1233" s="15" t="s">
        <v>870</v>
      </c>
      <c r="Q1233" s="16">
        <v>18399</v>
      </c>
      <c r="R1233" s="17">
        <v>40</v>
      </c>
      <c r="S1233" s="18">
        <v>12695.31</v>
      </c>
      <c r="T1233" s="19" t="s">
        <v>36</v>
      </c>
      <c r="U1233" s="20" t="s">
        <v>606</v>
      </c>
      <c r="V1233" s="22">
        <v>44</v>
      </c>
      <c r="W1233" s="22">
        <v>10</v>
      </c>
      <c r="X1233" s="23"/>
    </row>
    <row r="1234" spans="1:24" s="1" customFormat="1" ht="11.1" customHeight="1" x14ac:dyDescent="0.3">
      <c r="A1234" s="24" t="s">
        <v>23</v>
      </c>
      <c r="B1234" s="24" t="s">
        <v>590</v>
      </c>
      <c r="C1234" s="12" t="s">
        <v>1643</v>
      </c>
      <c r="D1234" s="55"/>
      <c r="E1234" s="39" t="str">
        <f t="shared" si="24"/>
        <v>Еще фото</v>
      </c>
      <c r="F1234" s="13" t="s">
        <v>310</v>
      </c>
      <c r="G1234" s="24" t="s">
        <v>592</v>
      </c>
      <c r="H1234" s="24" t="s">
        <v>593</v>
      </c>
      <c r="I1234" s="24" t="s">
        <v>809</v>
      </c>
      <c r="J1234" s="14" t="s">
        <v>595</v>
      </c>
      <c r="K1234" s="15" t="s">
        <v>30</v>
      </c>
      <c r="L1234" s="58"/>
      <c r="M1234" s="14"/>
      <c r="N1234" s="14" t="s">
        <v>249</v>
      </c>
      <c r="O1234" s="14"/>
      <c r="P1234" s="15" t="s">
        <v>870</v>
      </c>
      <c r="Q1234" s="16">
        <v>18399</v>
      </c>
      <c r="R1234" s="17">
        <v>40</v>
      </c>
      <c r="S1234" s="18">
        <v>12695.31</v>
      </c>
      <c r="T1234" s="19" t="s">
        <v>36</v>
      </c>
      <c r="U1234" s="20" t="s">
        <v>607</v>
      </c>
      <c r="V1234" s="28">
        <v>44.5</v>
      </c>
      <c r="W1234" s="22">
        <v>3</v>
      </c>
      <c r="X1234" s="23"/>
    </row>
    <row r="1235" spans="1:24" s="1" customFormat="1" ht="11.1" customHeight="1" x14ac:dyDescent="0.3">
      <c r="A1235" s="11" t="s">
        <v>23</v>
      </c>
      <c r="B1235" s="11" t="s">
        <v>1644</v>
      </c>
      <c r="C1235" s="12" t="s">
        <v>1645</v>
      </c>
      <c r="D1235" s="53"/>
      <c r="E1235" s="39" t="str">
        <f t="shared" ref="E1235:E1244" si="25">HYPERLINK("https://www.google.ru/search?q=3027383-001&amp;newwindow=1&amp;tbm=isch","Еще фото")</f>
        <v>Еще фото</v>
      </c>
      <c r="F1235" s="13" t="s">
        <v>98</v>
      </c>
      <c r="G1235" s="11" t="s">
        <v>592</v>
      </c>
      <c r="H1235" s="11" t="s">
        <v>593</v>
      </c>
      <c r="I1235" s="14" t="s">
        <v>809</v>
      </c>
      <c r="J1235" s="14" t="s">
        <v>595</v>
      </c>
      <c r="K1235" s="15" t="s">
        <v>30</v>
      </c>
      <c r="L1235" s="56" t="s">
        <v>596</v>
      </c>
      <c r="M1235" s="14"/>
      <c r="N1235" s="14" t="s">
        <v>33</v>
      </c>
      <c r="O1235" s="14"/>
      <c r="P1235" s="15" t="s">
        <v>870</v>
      </c>
      <c r="Q1235" s="16">
        <v>20599</v>
      </c>
      <c r="R1235" s="17">
        <v>40</v>
      </c>
      <c r="S1235" s="18">
        <v>14213.309999999998</v>
      </c>
      <c r="T1235" s="19" t="s">
        <v>36</v>
      </c>
      <c r="U1235" s="20" t="s">
        <v>599</v>
      </c>
      <c r="V1235" s="28">
        <v>39.5</v>
      </c>
      <c r="W1235" s="22">
        <v>13</v>
      </c>
      <c r="X1235" s="23"/>
    </row>
    <row r="1236" spans="1:24" s="1" customFormat="1" ht="11.1" customHeight="1" x14ac:dyDescent="0.3">
      <c r="A1236" s="24" t="s">
        <v>23</v>
      </c>
      <c r="B1236" s="24" t="s">
        <v>1644</v>
      </c>
      <c r="C1236" s="12" t="s">
        <v>1645</v>
      </c>
      <c r="D1236" s="54"/>
      <c r="E1236" s="39" t="str">
        <f t="shared" si="25"/>
        <v>Еще фото</v>
      </c>
      <c r="F1236" s="13" t="s">
        <v>98</v>
      </c>
      <c r="G1236" s="24" t="s">
        <v>592</v>
      </c>
      <c r="H1236" s="24" t="s">
        <v>593</v>
      </c>
      <c r="I1236" s="24" t="s">
        <v>809</v>
      </c>
      <c r="J1236" s="14" t="s">
        <v>595</v>
      </c>
      <c r="K1236" s="15" t="s">
        <v>30</v>
      </c>
      <c r="L1236" s="57"/>
      <c r="M1236" s="14"/>
      <c r="N1236" s="14" t="s">
        <v>33</v>
      </c>
      <c r="O1236" s="14"/>
      <c r="P1236" s="15" t="s">
        <v>870</v>
      </c>
      <c r="Q1236" s="16">
        <v>20599</v>
      </c>
      <c r="R1236" s="17">
        <v>40</v>
      </c>
      <c r="S1236" s="18">
        <v>14213.309999999998</v>
      </c>
      <c r="T1236" s="19" t="s">
        <v>36</v>
      </c>
      <c r="U1236" s="20" t="s">
        <v>600</v>
      </c>
      <c r="V1236" s="22">
        <v>40</v>
      </c>
      <c r="W1236" s="22">
        <v>25</v>
      </c>
      <c r="X1236" s="23"/>
    </row>
    <row r="1237" spans="1:24" s="1" customFormat="1" ht="11.1" customHeight="1" x14ac:dyDescent="0.3">
      <c r="A1237" s="24" t="s">
        <v>23</v>
      </c>
      <c r="B1237" s="24" t="s">
        <v>1644</v>
      </c>
      <c r="C1237" s="12" t="s">
        <v>1645</v>
      </c>
      <c r="D1237" s="54"/>
      <c r="E1237" s="39" t="str">
        <f t="shared" si="25"/>
        <v>Еще фото</v>
      </c>
      <c r="F1237" s="13" t="s">
        <v>98</v>
      </c>
      <c r="G1237" s="24" t="s">
        <v>592</v>
      </c>
      <c r="H1237" s="24" t="s">
        <v>593</v>
      </c>
      <c r="I1237" s="24" t="s">
        <v>809</v>
      </c>
      <c r="J1237" s="14" t="s">
        <v>595</v>
      </c>
      <c r="K1237" s="15" t="s">
        <v>30</v>
      </c>
      <c r="L1237" s="57"/>
      <c r="M1237" s="14"/>
      <c r="N1237" s="14" t="s">
        <v>33</v>
      </c>
      <c r="O1237" s="14"/>
      <c r="P1237" s="15" t="s">
        <v>870</v>
      </c>
      <c r="Q1237" s="16">
        <v>20599</v>
      </c>
      <c r="R1237" s="17">
        <v>40</v>
      </c>
      <c r="S1237" s="18">
        <v>14213.309999999998</v>
      </c>
      <c r="T1237" s="19" t="s">
        <v>36</v>
      </c>
      <c r="U1237" s="20" t="s">
        <v>601</v>
      </c>
      <c r="V1237" s="22">
        <v>41</v>
      </c>
      <c r="W1237" s="22">
        <v>30</v>
      </c>
      <c r="X1237" s="23"/>
    </row>
    <row r="1238" spans="1:24" s="1" customFormat="1" ht="11.1" customHeight="1" x14ac:dyDescent="0.3">
      <c r="A1238" s="24" t="s">
        <v>23</v>
      </c>
      <c r="B1238" s="24" t="s">
        <v>1644</v>
      </c>
      <c r="C1238" s="12" t="s">
        <v>1645</v>
      </c>
      <c r="D1238" s="54"/>
      <c r="E1238" s="39" t="str">
        <f t="shared" si="25"/>
        <v>Еще фото</v>
      </c>
      <c r="F1238" s="13" t="s">
        <v>98</v>
      </c>
      <c r="G1238" s="24" t="s">
        <v>592</v>
      </c>
      <c r="H1238" s="24" t="s">
        <v>593</v>
      </c>
      <c r="I1238" s="24" t="s">
        <v>809</v>
      </c>
      <c r="J1238" s="14" t="s">
        <v>595</v>
      </c>
      <c r="K1238" s="15" t="s">
        <v>30</v>
      </c>
      <c r="L1238" s="57"/>
      <c r="M1238" s="14"/>
      <c r="N1238" s="14" t="s">
        <v>33</v>
      </c>
      <c r="O1238" s="14"/>
      <c r="P1238" s="15" t="s">
        <v>870</v>
      </c>
      <c r="Q1238" s="16">
        <v>20599</v>
      </c>
      <c r="R1238" s="17">
        <v>40</v>
      </c>
      <c r="S1238" s="18">
        <v>14213.309999999998</v>
      </c>
      <c r="T1238" s="19" t="s">
        <v>36</v>
      </c>
      <c r="U1238" s="20" t="s">
        <v>602</v>
      </c>
      <c r="V1238" s="28">
        <v>41.5</v>
      </c>
      <c r="W1238" s="22">
        <v>30</v>
      </c>
      <c r="X1238" s="23"/>
    </row>
    <row r="1239" spans="1:24" s="1" customFormat="1" ht="11.1" customHeight="1" x14ac:dyDescent="0.3">
      <c r="A1239" s="24" t="s">
        <v>23</v>
      </c>
      <c r="B1239" s="24" t="s">
        <v>1644</v>
      </c>
      <c r="C1239" s="12" t="s">
        <v>1645</v>
      </c>
      <c r="D1239" s="54"/>
      <c r="E1239" s="39" t="str">
        <f t="shared" si="25"/>
        <v>Еще фото</v>
      </c>
      <c r="F1239" s="13" t="s">
        <v>98</v>
      </c>
      <c r="G1239" s="24" t="s">
        <v>592</v>
      </c>
      <c r="H1239" s="24" t="s">
        <v>593</v>
      </c>
      <c r="I1239" s="24" t="s">
        <v>809</v>
      </c>
      <c r="J1239" s="14" t="s">
        <v>595</v>
      </c>
      <c r="K1239" s="15" t="s">
        <v>30</v>
      </c>
      <c r="L1239" s="57"/>
      <c r="M1239" s="14"/>
      <c r="N1239" s="14" t="s">
        <v>33</v>
      </c>
      <c r="O1239" s="14"/>
      <c r="P1239" s="15" t="s">
        <v>870</v>
      </c>
      <c r="Q1239" s="16">
        <v>20599</v>
      </c>
      <c r="R1239" s="17">
        <v>40</v>
      </c>
      <c r="S1239" s="18">
        <v>14213.309999999998</v>
      </c>
      <c r="T1239" s="19" t="s">
        <v>36</v>
      </c>
      <c r="U1239" s="20" t="s">
        <v>603</v>
      </c>
      <c r="V1239" s="22">
        <v>42</v>
      </c>
      <c r="W1239" s="22">
        <v>25</v>
      </c>
      <c r="X1239" s="23"/>
    </row>
    <row r="1240" spans="1:24" s="1" customFormat="1" ht="11.1" customHeight="1" x14ac:dyDescent="0.3">
      <c r="A1240" s="24" t="s">
        <v>23</v>
      </c>
      <c r="B1240" s="24" t="s">
        <v>1644</v>
      </c>
      <c r="C1240" s="12" t="s">
        <v>1645</v>
      </c>
      <c r="D1240" s="54"/>
      <c r="E1240" s="39" t="str">
        <f t="shared" si="25"/>
        <v>Еще фото</v>
      </c>
      <c r="F1240" s="13" t="s">
        <v>98</v>
      </c>
      <c r="G1240" s="24" t="s">
        <v>592</v>
      </c>
      <c r="H1240" s="24" t="s">
        <v>593</v>
      </c>
      <c r="I1240" s="24" t="s">
        <v>809</v>
      </c>
      <c r="J1240" s="14" t="s">
        <v>595</v>
      </c>
      <c r="K1240" s="15" t="s">
        <v>30</v>
      </c>
      <c r="L1240" s="57"/>
      <c r="M1240" s="14"/>
      <c r="N1240" s="14" t="s">
        <v>33</v>
      </c>
      <c r="O1240" s="14"/>
      <c r="P1240" s="15" t="s">
        <v>870</v>
      </c>
      <c r="Q1240" s="16">
        <v>20599</v>
      </c>
      <c r="R1240" s="17">
        <v>40</v>
      </c>
      <c r="S1240" s="18">
        <v>14213.309999999998</v>
      </c>
      <c r="T1240" s="19" t="s">
        <v>36</v>
      </c>
      <c r="U1240" s="20" t="s">
        <v>604</v>
      </c>
      <c r="V1240" s="22">
        <v>43</v>
      </c>
      <c r="W1240" s="22">
        <v>17</v>
      </c>
      <c r="X1240" s="23"/>
    </row>
    <row r="1241" spans="1:24" s="1" customFormat="1" ht="11.1" customHeight="1" x14ac:dyDescent="0.3">
      <c r="A1241" s="24" t="s">
        <v>23</v>
      </c>
      <c r="B1241" s="24" t="s">
        <v>1644</v>
      </c>
      <c r="C1241" s="12" t="s">
        <v>1645</v>
      </c>
      <c r="D1241" s="54"/>
      <c r="E1241" s="39" t="str">
        <f t="shared" si="25"/>
        <v>Еще фото</v>
      </c>
      <c r="F1241" s="13" t="s">
        <v>98</v>
      </c>
      <c r="G1241" s="24" t="s">
        <v>592</v>
      </c>
      <c r="H1241" s="24" t="s">
        <v>593</v>
      </c>
      <c r="I1241" s="24" t="s">
        <v>809</v>
      </c>
      <c r="J1241" s="14" t="s">
        <v>595</v>
      </c>
      <c r="K1241" s="15" t="s">
        <v>30</v>
      </c>
      <c r="L1241" s="57"/>
      <c r="M1241" s="14"/>
      <c r="N1241" s="14" t="s">
        <v>33</v>
      </c>
      <c r="O1241" s="14"/>
      <c r="P1241" s="15" t="s">
        <v>870</v>
      </c>
      <c r="Q1241" s="16">
        <v>20599</v>
      </c>
      <c r="R1241" s="17">
        <v>40</v>
      </c>
      <c r="S1241" s="18">
        <v>14213.309999999998</v>
      </c>
      <c r="T1241" s="19" t="s">
        <v>36</v>
      </c>
      <c r="U1241" s="20" t="s">
        <v>605</v>
      </c>
      <c r="V1241" s="28">
        <v>43.5</v>
      </c>
      <c r="W1241" s="22">
        <v>22</v>
      </c>
      <c r="X1241" s="23"/>
    </row>
    <row r="1242" spans="1:24" s="1" customFormat="1" ht="11.1" customHeight="1" x14ac:dyDescent="0.3">
      <c r="A1242" s="24" t="s">
        <v>23</v>
      </c>
      <c r="B1242" s="24" t="s">
        <v>1644</v>
      </c>
      <c r="C1242" s="12" t="s">
        <v>1645</v>
      </c>
      <c r="D1242" s="54"/>
      <c r="E1242" s="39" t="str">
        <f t="shared" si="25"/>
        <v>Еще фото</v>
      </c>
      <c r="F1242" s="13" t="s">
        <v>98</v>
      </c>
      <c r="G1242" s="24" t="s">
        <v>592</v>
      </c>
      <c r="H1242" s="24" t="s">
        <v>593</v>
      </c>
      <c r="I1242" s="24" t="s">
        <v>809</v>
      </c>
      <c r="J1242" s="14" t="s">
        <v>595</v>
      </c>
      <c r="K1242" s="15" t="s">
        <v>30</v>
      </c>
      <c r="L1242" s="57"/>
      <c r="M1242" s="14"/>
      <c r="N1242" s="14" t="s">
        <v>33</v>
      </c>
      <c r="O1242" s="14"/>
      <c r="P1242" s="15" t="s">
        <v>870</v>
      </c>
      <c r="Q1242" s="16">
        <v>20599</v>
      </c>
      <c r="R1242" s="17">
        <v>40</v>
      </c>
      <c r="S1242" s="18">
        <v>14213.309999999998</v>
      </c>
      <c r="T1242" s="19" t="s">
        <v>36</v>
      </c>
      <c r="U1242" s="20" t="s">
        <v>606</v>
      </c>
      <c r="V1242" s="22">
        <v>44</v>
      </c>
      <c r="W1242" s="22">
        <v>10</v>
      </c>
      <c r="X1242" s="23"/>
    </row>
    <row r="1243" spans="1:24" s="1" customFormat="1" ht="11.1" customHeight="1" x14ac:dyDescent="0.3">
      <c r="A1243" s="24" t="s">
        <v>23</v>
      </c>
      <c r="B1243" s="24" t="s">
        <v>1644</v>
      </c>
      <c r="C1243" s="12" t="s">
        <v>1645</v>
      </c>
      <c r="D1243" s="54"/>
      <c r="E1243" s="39" t="str">
        <f t="shared" si="25"/>
        <v>Еще фото</v>
      </c>
      <c r="F1243" s="13" t="s">
        <v>98</v>
      </c>
      <c r="G1243" s="24" t="s">
        <v>592</v>
      </c>
      <c r="H1243" s="24" t="s">
        <v>593</v>
      </c>
      <c r="I1243" s="24" t="s">
        <v>809</v>
      </c>
      <c r="J1243" s="14" t="s">
        <v>595</v>
      </c>
      <c r="K1243" s="15" t="s">
        <v>30</v>
      </c>
      <c r="L1243" s="57"/>
      <c r="M1243" s="14"/>
      <c r="N1243" s="14" t="s">
        <v>33</v>
      </c>
      <c r="O1243" s="14"/>
      <c r="P1243" s="15" t="s">
        <v>870</v>
      </c>
      <c r="Q1243" s="16">
        <v>20599</v>
      </c>
      <c r="R1243" s="17">
        <v>40</v>
      </c>
      <c r="S1243" s="18">
        <v>14213.309999999998</v>
      </c>
      <c r="T1243" s="19" t="s">
        <v>36</v>
      </c>
      <c r="U1243" s="20" t="s">
        <v>607</v>
      </c>
      <c r="V1243" s="28">
        <v>44.5</v>
      </c>
      <c r="W1243" s="22">
        <v>7</v>
      </c>
      <c r="X1243" s="23"/>
    </row>
    <row r="1244" spans="1:24" s="1" customFormat="1" ht="11.1" customHeight="1" x14ac:dyDescent="0.3">
      <c r="A1244" s="14" t="s">
        <v>23</v>
      </c>
      <c r="B1244" s="14" t="s">
        <v>1644</v>
      </c>
      <c r="C1244" s="12" t="s">
        <v>1645</v>
      </c>
      <c r="D1244" s="55"/>
      <c r="E1244" s="39" t="str">
        <f t="shared" si="25"/>
        <v>Еще фото</v>
      </c>
      <c r="F1244" s="29" t="s">
        <v>98</v>
      </c>
      <c r="G1244" s="14" t="s">
        <v>592</v>
      </c>
      <c r="H1244" s="14" t="s">
        <v>593</v>
      </c>
      <c r="I1244" s="14" t="s">
        <v>809</v>
      </c>
      <c r="J1244" s="14" t="s">
        <v>595</v>
      </c>
      <c r="K1244" s="14" t="s">
        <v>30</v>
      </c>
      <c r="L1244" s="58"/>
      <c r="M1244" s="14"/>
      <c r="N1244" s="14" t="s">
        <v>33</v>
      </c>
      <c r="O1244" s="14"/>
      <c r="P1244" s="14" t="s">
        <v>870</v>
      </c>
      <c r="Q1244" s="30">
        <v>20599</v>
      </c>
      <c r="R1244" s="31">
        <v>40</v>
      </c>
      <c r="S1244" s="32">
        <v>14213.309999999998</v>
      </c>
      <c r="T1244" s="19" t="s">
        <v>36</v>
      </c>
      <c r="U1244" s="20" t="s">
        <v>608</v>
      </c>
      <c r="V1244" s="22">
        <v>45</v>
      </c>
      <c r="W1244" s="22">
        <v>1</v>
      </c>
      <c r="X1244" s="23"/>
    </row>
    <row r="1245" spans="1:24" s="1" customFormat="1" ht="108" customHeight="1" x14ac:dyDescent="0.3">
      <c r="A1245" s="11" t="s">
        <v>23</v>
      </c>
      <c r="B1245" s="11" t="s">
        <v>1646</v>
      </c>
      <c r="C1245" s="12" t="s">
        <v>1647</v>
      </c>
      <c r="D1245" s="25"/>
      <c r="E1245" s="39" t="str">
        <f>HYPERLINK("https://www.google.ru/search?q=3027523-002&amp;newwindow=1&amp;tbm=isch","Еще фото")</f>
        <v>Еще фото</v>
      </c>
      <c r="F1245" s="13"/>
      <c r="G1245" s="11" t="s">
        <v>808</v>
      </c>
      <c r="H1245" s="11" t="s">
        <v>593</v>
      </c>
      <c r="I1245" s="14" t="s">
        <v>809</v>
      </c>
      <c r="J1245" s="14" t="s">
        <v>29</v>
      </c>
      <c r="K1245" s="15" t="s">
        <v>30</v>
      </c>
      <c r="L1245" s="14" t="s">
        <v>1648</v>
      </c>
      <c r="M1245" s="14" t="s">
        <v>824</v>
      </c>
      <c r="N1245" s="14" t="s">
        <v>33</v>
      </c>
      <c r="O1245" s="14"/>
      <c r="P1245" s="15" t="s">
        <v>597</v>
      </c>
      <c r="Q1245" s="16">
        <v>13199</v>
      </c>
      <c r="R1245" s="17">
        <v>40</v>
      </c>
      <c r="S1245" s="18">
        <v>9107.31</v>
      </c>
      <c r="T1245" s="19" t="s">
        <v>36</v>
      </c>
      <c r="U1245" s="20" t="s">
        <v>601</v>
      </c>
      <c r="V1245" s="22">
        <v>41</v>
      </c>
      <c r="W1245" s="22">
        <v>1</v>
      </c>
      <c r="X1245" s="23"/>
    </row>
    <row r="1246" spans="1:24" s="1" customFormat="1" ht="35.1" customHeight="1" x14ac:dyDescent="0.3">
      <c r="A1246" s="11" t="s">
        <v>23</v>
      </c>
      <c r="B1246" s="11" t="s">
        <v>1646</v>
      </c>
      <c r="C1246" s="12" t="s">
        <v>1649</v>
      </c>
      <c r="D1246" s="53"/>
      <c r="E1246" s="39" t="str">
        <f>HYPERLINK("https://www.google.ru/search?q=3027523-103&amp;newwindow=1&amp;tbm=isch","Еще фото")</f>
        <v>Еще фото</v>
      </c>
      <c r="F1246" s="13"/>
      <c r="G1246" s="11" t="s">
        <v>808</v>
      </c>
      <c r="H1246" s="11" t="s">
        <v>593</v>
      </c>
      <c r="I1246" s="14" t="s">
        <v>809</v>
      </c>
      <c r="J1246" s="14" t="s">
        <v>29</v>
      </c>
      <c r="K1246" s="15" t="s">
        <v>30</v>
      </c>
      <c r="L1246" s="56" t="s">
        <v>1650</v>
      </c>
      <c r="M1246" s="14"/>
      <c r="N1246" s="14" t="s">
        <v>74</v>
      </c>
      <c r="O1246" s="14"/>
      <c r="P1246" s="15" t="s">
        <v>597</v>
      </c>
      <c r="Q1246" s="16">
        <v>13199</v>
      </c>
      <c r="R1246" s="17">
        <v>40</v>
      </c>
      <c r="S1246" s="18">
        <v>9107.31</v>
      </c>
      <c r="T1246" s="19" t="s">
        <v>36</v>
      </c>
      <c r="U1246" s="20" t="s">
        <v>601</v>
      </c>
      <c r="V1246" s="22">
        <v>41</v>
      </c>
      <c r="W1246" s="22">
        <v>1</v>
      </c>
      <c r="X1246" s="23"/>
    </row>
    <row r="1247" spans="1:24" s="1" customFormat="1" ht="35.1" customHeight="1" x14ac:dyDescent="0.3">
      <c r="A1247" s="24" t="s">
        <v>23</v>
      </c>
      <c r="B1247" s="24" t="s">
        <v>1646</v>
      </c>
      <c r="C1247" s="12" t="s">
        <v>1649</v>
      </c>
      <c r="D1247" s="54"/>
      <c r="E1247" s="39" t="str">
        <f>HYPERLINK("https://www.google.ru/search?q=3027523-103&amp;newwindow=1&amp;tbm=isch","Еще фото")</f>
        <v>Еще фото</v>
      </c>
      <c r="F1247" s="13"/>
      <c r="G1247" s="24" t="s">
        <v>808</v>
      </c>
      <c r="H1247" s="24" t="s">
        <v>593</v>
      </c>
      <c r="I1247" s="24" t="s">
        <v>809</v>
      </c>
      <c r="J1247" s="14" t="s">
        <v>29</v>
      </c>
      <c r="K1247" s="15" t="s">
        <v>30</v>
      </c>
      <c r="L1247" s="57"/>
      <c r="M1247" s="14"/>
      <c r="N1247" s="14" t="s">
        <v>74</v>
      </c>
      <c r="O1247" s="14"/>
      <c r="P1247" s="15" t="s">
        <v>597</v>
      </c>
      <c r="Q1247" s="16">
        <v>13199</v>
      </c>
      <c r="R1247" s="17">
        <v>40</v>
      </c>
      <c r="S1247" s="18">
        <v>9107.31</v>
      </c>
      <c r="T1247" s="19" t="s">
        <v>36</v>
      </c>
      <c r="U1247" s="20" t="s">
        <v>603</v>
      </c>
      <c r="V1247" s="22">
        <v>42</v>
      </c>
      <c r="W1247" s="22">
        <v>1</v>
      </c>
      <c r="X1247" s="23"/>
    </row>
    <row r="1248" spans="1:24" s="1" customFormat="1" ht="36.950000000000003" customHeight="1" x14ac:dyDescent="0.3">
      <c r="A1248" s="24" t="s">
        <v>23</v>
      </c>
      <c r="B1248" s="24" t="s">
        <v>1646</v>
      </c>
      <c r="C1248" s="12" t="s">
        <v>1649</v>
      </c>
      <c r="D1248" s="55"/>
      <c r="E1248" s="39" t="str">
        <f>HYPERLINK("https://www.google.ru/search?q=3027523-103&amp;newwindow=1&amp;tbm=isch","Еще фото")</f>
        <v>Еще фото</v>
      </c>
      <c r="F1248" s="13"/>
      <c r="G1248" s="24" t="s">
        <v>808</v>
      </c>
      <c r="H1248" s="24" t="s">
        <v>593</v>
      </c>
      <c r="I1248" s="24" t="s">
        <v>809</v>
      </c>
      <c r="J1248" s="14" t="s">
        <v>29</v>
      </c>
      <c r="K1248" s="15" t="s">
        <v>30</v>
      </c>
      <c r="L1248" s="58"/>
      <c r="M1248" s="14"/>
      <c r="N1248" s="14" t="s">
        <v>74</v>
      </c>
      <c r="O1248" s="14"/>
      <c r="P1248" s="15" t="s">
        <v>597</v>
      </c>
      <c r="Q1248" s="16">
        <v>13199</v>
      </c>
      <c r="R1248" s="17">
        <v>40</v>
      </c>
      <c r="S1248" s="18">
        <v>9107.31</v>
      </c>
      <c r="T1248" s="19" t="s">
        <v>36</v>
      </c>
      <c r="U1248" s="20" t="s">
        <v>605</v>
      </c>
      <c r="V1248" s="28">
        <v>43.5</v>
      </c>
      <c r="W1248" s="22">
        <v>2</v>
      </c>
      <c r="X1248" s="23"/>
    </row>
    <row r="1249" spans="1:24" s="1" customFormat="1" ht="51.95" customHeight="1" x14ac:dyDescent="0.3">
      <c r="A1249" s="11" t="s">
        <v>23</v>
      </c>
      <c r="B1249" s="11" t="s">
        <v>1646</v>
      </c>
      <c r="C1249" s="12" t="s">
        <v>1651</v>
      </c>
      <c r="D1249" s="59"/>
      <c r="E1249" s="39" t="str">
        <f>HYPERLINK("https://www.google.ru/search?q=3027523-323&amp;newwindow=1&amp;tbm=isch","Еще фото")</f>
        <v>Еще фото</v>
      </c>
      <c r="F1249" s="13"/>
      <c r="G1249" s="11" t="s">
        <v>808</v>
      </c>
      <c r="H1249" s="11" t="s">
        <v>593</v>
      </c>
      <c r="I1249" s="14" t="s">
        <v>809</v>
      </c>
      <c r="J1249" s="14" t="s">
        <v>29</v>
      </c>
      <c r="K1249" s="15" t="s">
        <v>30</v>
      </c>
      <c r="L1249" s="56" t="s">
        <v>1648</v>
      </c>
      <c r="M1249" s="14"/>
      <c r="N1249" s="14" t="s">
        <v>125</v>
      </c>
      <c r="O1249" s="14"/>
      <c r="P1249" s="15" t="s">
        <v>870</v>
      </c>
      <c r="Q1249" s="16">
        <v>13199</v>
      </c>
      <c r="R1249" s="17">
        <v>40</v>
      </c>
      <c r="S1249" s="18">
        <v>9107.31</v>
      </c>
      <c r="T1249" s="19" t="s">
        <v>36</v>
      </c>
      <c r="U1249" s="20" t="s">
        <v>601</v>
      </c>
      <c r="V1249" s="22">
        <v>41</v>
      </c>
      <c r="W1249" s="22">
        <v>2</v>
      </c>
      <c r="X1249" s="23"/>
    </row>
    <row r="1250" spans="1:24" s="1" customFormat="1" ht="60.95" customHeight="1" x14ac:dyDescent="0.3">
      <c r="A1250" s="24" t="s">
        <v>23</v>
      </c>
      <c r="B1250" s="24" t="s">
        <v>1646</v>
      </c>
      <c r="C1250" s="12" t="s">
        <v>1651</v>
      </c>
      <c r="D1250" s="60"/>
      <c r="E1250" s="39" t="str">
        <f>HYPERLINK("https://www.google.ru/search?q=3027523-323&amp;newwindow=1&amp;tbm=isch","Еще фото")</f>
        <v>Еще фото</v>
      </c>
      <c r="F1250" s="13"/>
      <c r="G1250" s="24" t="s">
        <v>808</v>
      </c>
      <c r="H1250" s="24" t="s">
        <v>593</v>
      </c>
      <c r="I1250" s="24" t="s">
        <v>809</v>
      </c>
      <c r="J1250" s="14" t="s">
        <v>29</v>
      </c>
      <c r="K1250" s="15" t="s">
        <v>30</v>
      </c>
      <c r="L1250" s="58"/>
      <c r="M1250" s="14"/>
      <c r="N1250" s="14" t="s">
        <v>125</v>
      </c>
      <c r="O1250" s="14"/>
      <c r="P1250" s="15" t="s">
        <v>870</v>
      </c>
      <c r="Q1250" s="16">
        <v>13199</v>
      </c>
      <c r="R1250" s="17">
        <v>40</v>
      </c>
      <c r="S1250" s="18">
        <v>9107.31</v>
      </c>
      <c r="T1250" s="19" t="s">
        <v>36</v>
      </c>
      <c r="U1250" s="20" t="s">
        <v>604</v>
      </c>
      <c r="V1250" s="22">
        <v>43</v>
      </c>
      <c r="W1250" s="22">
        <v>1</v>
      </c>
      <c r="X1250" s="23"/>
    </row>
    <row r="1251" spans="1:24" s="1" customFormat="1" ht="26.1" customHeight="1" x14ac:dyDescent="0.3">
      <c r="A1251" s="11" t="s">
        <v>23</v>
      </c>
      <c r="B1251" s="11" t="s">
        <v>1646</v>
      </c>
      <c r="C1251" s="12" t="s">
        <v>1652</v>
      </c>
      <c r="D1251" s="53"/>
      <c r="E1251" s="39" t="str">
        <f>HYPERLINK("https://www.google.ru/search?q=3027523-713&amp;newwindow=1&amp;tbm=isch","Еще фото")</f>
        <v>Еще фото</v>
      </c>
      <c r="F1251" s="13" t="s">
        <v>98</v>
      </c>
      <c r="G1251" s="11" t="s">
        <v>808</v>
      </c>
      <c r="H1251" s="11" t="s">
        <v>593</v>
      </c>
      <c r="I1251" s="14" t="s">
        <v>809</v>
      </c>
      <c r="J1251" s="14" t="s">
        <v>29</v>
      </c>
      <c r="K1251" s="15" t="s">
        <v>30</v>
      </c>
      <c r="L1251" s="56" t="s">
        <v>1648</v>
      </c>
      <c r="M1251" s="14" t="s">
        <v>824</v>
      </c>
      <c r="N1251" s="14" t="s">
        <v>140</v>
      </c>
      <c r="O1251" s="14"/>
      <c r="P1251" s="15" t="s">
        <v>597</v>
      </c>
      <c r="Q1251" s="16">
        <v>13299</v>
      </c>
      <c r="R1251" s="17">
        <v>40</v>
      </c>
      <c r="S1251" s="18">
        <v>9176.31</v>
      </c>
      <c r="T1251" s="19" t="s">
        <v>36</v>
      </c>
      <c r="U1251" s="20" t="s">
        <v>601</v>
      </c>
      <c r="V1251" s="22">
        <v>41</v>
      </c>
      <c r="W1251" s="22">
        <v>1</v>
      </c>
      <c r="X1251" s="23"/>
    </row>
    <row r="1252" spans="1:24" s="1" customFormat="1" ht="26.1" customHeight="1" x14ac:dyDescent="0.3">
      <c r="A1252" s="24" t="s">
        <v>23</v>
      </c>
      <c r="B1252" s="24" t="s">
        <v>1646</v>
      </c>
      <c r="C1252" s="12" t="s">
        <v>1652</v>
      </c>
      <c r="D1252" s="54"/>
      <c r="E1252" s="39" t="str">
        <f>HYPERLINK("https://www.google.ru/search?q=3027523-713&amp;newwindow=1&amp;tbm=isch","Еще фото")</f>
        <v>Еще фото</v>
      </c>
      <c r="F1252" s="13" t="s">
        <v>98</v>
      </c>
      <c r="G1252" s="24" t="s">
        <v>808</v>
      </c>
      <c r="H1252" s="24" t="s">
        <v>593</v>
      </c>
      <c r="I1252" s="24" t="s">
        <v>809</v>
      </c>
      <c r="J1252" s="14" t="s">
        <v>29</v>
      </c>
      <c r="K1252" s="15" t="s">
        <v>30</v>
      </c>
      <c r="L1252" s="57"/>
      <c r="M1252" s="14" t="s">
        <v>824</v>
      </c>
      <c r="N1252" s="14" t="s">
        <v>140</v>
      </c>
      <c r="O1252" s="14"/>
      <c r="P1252" s="15" t="s">
        <v>597</v>
      </c>
      <c r="Q1252" s="16">
        <v>13299</v>
      </c>
      <c r="R1252" s="17">
        <v>40</v>
      </c>
      <c r="S1252" s="18">
        <v>9176.31</v>
      </c>
      <c r="T1252" s="19" t="s">
        <v>36</v>
      </c>
      <c r="U1252" s="20" t="s">
        <v>602</v>
      </c>
      <c r="V1252" s="28">
        <v>41.5</v>
      </c>
      <c r="W1252" s="22">
        <v>1</v>
      </c>
      <c r="X1252" s="23"/>
    </row>
    <row r="1253" spans="1:24" s="1" customFormat="1" ht="26.1" customHeight="1" x14ac:dyDescent="0.3">
      <c r="A1253" s="24" t="s">
        <v>23</v>
      </c>
      <c r="B1253" s="24" t="s">
        <v>1646</v>
      </c>
      <c r="C1253" s="12" t="s">
        <v>1652</v>
      </c>
      <c r="D1253" s="54"/>
      <c r="E1253" s="39" t="str">
        <f>HYPERLINK("https://www.google.ru/search?q=3027523-713&amp;newwindow=1&amp;tbm=isch","Еще фото")</f>
        <v>Еще фото</v>
      </c>
      <c r="F1253" s="13" t="s">
        <v>98</v>
      </c>
      <c r="G1253" s="24" t="s">
        <v>808</v>
      </c>
      <c r="H1253" s="24" t="s">
        <v>593</v>
      </c>
      <c r="I1253" s="24" t="s">
        <v>809</v>
      </c>
      <c r="J1253" s="14" t="s">
        <v>29</v>
      </c>
      <c r="K1253" s="15" t="s">
        <v>30</v>
      </c>
      <c r="L1253" s="57"/>
      <c r="M1253" s="14" t="s">
        <v>824</v>
      </c>
      <c r="N1253" s="14" t="s">
        <v>140</v>
      </c>
      <c r="O1253" s="14"/>
      <c r="P1253" s="15" t="s">
        <v>597</v>
      </c>
      <c r="Q1253" s="16">
        <v>13299</v>
      </c>
      <c r="R1253" s="17">
        <v>40</v>
      </c>
      <c r="S1253" s="18">
        <v>9176.31</v>
      </c>
      <c r="T1253" s="19" t="s">
        <v>36</v>
      </c>
      <c r="U1253" s="20" t="s">
        <v>603</v>
      </c>
      <c r="V1253" s="22">
        <v>42</v>
      </c>
      <c r="W1253" s="22">
        <v>2</v>
      </c>
      <c r="X1253" s="23"/>
    </row>
    <row r="1254" spans="1:24" s="1" customFormat="1" ht="26.1" customHeight="1" x14ac:dyDescent="0.3">
      <c r="A1254" s="24" t="s">
        <v>23</v>
      </c>
      <c r="B1254" s="24" t="s">
        <v>1646</v>
      </c>
      <c r="C1254" s="12" t="s">
        <v>1652</v>
      </c>
      <c r="D1254" s="55"/>
      <c r="E1254" s="39" t="str">
        <f>HYPERLINK("https://www.google.ru/search?q=3027523-713&amp;newwindow=1&amp;tbm=isch","Еще фото")</f>
        <v>Еще фото</v>
      </c>
      <c r="F1254" s="13" t="s">
        <v>98</v>
      </c>
      <c r="G1254" s="24" t="s">
        <v>808</v>
      </c>
      <c r="H1254" s="24" t="s">
        <v>593</v>
      </c>
      <c r="I1254" s="24" t="s">
        <v>809</v>
      </c>
      <c r="J1254" s="14" t="s">
        <v>29</v>
      </c>
      <c r="K1254" s="15" t="s">
        <v>30</v>
      </c>
      <c r="L1254" s="58"/>
      <c r="M1254" s="14" t="s">
        <v>824</v>
      </c>
      <c r="N1254" s="14" t="s">
        <v>140</v>
      </c>
      <c r="O1254" s="14"/>
      <c r="P1254" s="15" t="s">
        <v>597</v>
      </c>
      <c r="Q1254" s="16">
        <v>13299</v>
      </c>
      <c r="R1254" s="17">
        <v>40</v>
      </c>
      <c r="S1254" s="18">
        <v>9176.31</v>
      </c>
      <c r="T1254" s="19" t="s">
        <v>36</v>
      </c>
      <c r="U1254" s="20" t="s">
        <v>605</v>
      </c>
      <c r="V1254" s="28">
        <v>43.5</v>
      </c>
      <c r="W1254" s="22">
        <v>1</v>
      </c>
      <c r="X1254" s="23"/>
    </row>
    <row r="1255" spans="1:24" s="1" customFormat="1" ht="108" customHeight="1" x14ac:dyDescent="0.3">
      <c r="A1255" s="11" t="s">
        <v>23</v>
      </c>
      <c r="B1255" s="11" t="s">
        <v>867</v>
      </c>
      <c r="C1255" s="12" t="s">
        <v>1653</v>
      </c>
      <c r="D1255" s="25"/>
      <c r="E1255" s="39" t="str">
        <f>HYPERLINK("https://www.google.ru/search?q=3027524-600&amp;newwindow=1&amp;tbm=isch","Еще фото")</f>
        <v>Еще фото</v>
      </c>
      <c r="F1255" s="13"/>
      <c r="G1255" s="11" t="s">
        <v>808</v>
      </c>
      <c r="H1255" s="11" t="s">
        <v>593</v>
      </c>
      <c r="I1255" s="14" t="s">
        <v>809</v>
      </c>
      <c r="J1255" s="14" t="s">
        <v>29</v>
      </c>
      <c r="K1255" s="15" t="s">
        <v>64</v>
      </c>
      <c r="L1255" s="14" t="s">
        <v>1654</v>
      </c>
      <c r="M1255" s="14" t="s">
        <v>824</v>
      </c>
      <c r="N1255" s="14" t="s">
        <v>57</v>
      </c>
      <c r="O1255" s="14"/>
      <c r="P1255" s="15" t="s">
        <v>1640</v>
      </c>
      <c r="Q1255" s="16">
        <v>13299</v>
      </c>
      <c r="R1255" s="17">
        <v>40</v>
      </c>
      <c r="S1255" s="18">
        <v>9176.31</v>
      </c>
      <c r="T1255" s="19" t="s">
        <v>36</v>
      </c>
      <c r="U1255" s="20" t="s">
        <v>820</v>
      </c>
      <c r="V1255" s="22">
        <v>36</v>
      </c>
      <c r="W1255" s="22">
        <v>1</v>
      </c>
      <c r="X1255" s="23"/>
    </row>
    <row r="1256" spans="1:24" s="1" customFormat="1" ht="35.1" customHeight="1" x14ac:dyDescent="0.3">
      <c r="A1256" s="11" t="s">
        <v>23</v>
      </c>
      <c r="B1256" s="11" t="s">
        <v>1655</v>
      </c>
      <c r="C1256" s="12" t="s">
        <v>1656</v>
      </c>
      <c r="D1256" s="53"/>
      <c r="E1256" s="39" t="str">
        <f>HYPERLINK("https://www.google.ru/search?q=3027585-001&amp;newwindow=1&amp;tbm=isch","Еще фото")</f>
        <v>Еще фото</v>
      </c>
      <c r="F1256" s="13"/>
      <c r="G1256" s="11" t="s">
        <v>808</v>
      </c>
      <c r="H1256" s="11" t="s">
        <v>593</v>
      </c>
      <c r="I1256" s="14" t="s">
        <v>809</v>
      </c>
      <c r="J1256" s="14" t="s">
        <v>29</v>
      </c>
      <c r="K1256" s="15" t="s">
        <v>30</v>
      </c>
      <c r="L1256" s="56" t="s">
        <v>995</v>
      </c>
      <c r="M1256" s="14"/>
      <c r="N1256" s="14" t="s">
        <v>33</v>
      </c>
      <c r="O1256" s="14"/>
      <c r="P1256" s="15" t="s">
        <v>996</v>
      </c>
      <c r="Q1256" s="16">
        <v>16099</v>
      </c>
      <c r="R1256" s="17">
        <v>40</v>
      </c>
      <c r="S1256" s="18">
        <v>11108.31</v>
      </c>
      <c r="T1256" s="19" t="s">
        <v>36</v>
      </c>
      <c r="U1256" s="20" t="s">
        <v>601</v>
      </c>
      <c r="V1256" s="22">
        <v>41</v>
      </c>
      <c r="W1256" s="22">
        <v>2</v>
      </c>
      <c r="X1256" s="23"/>
    </row>
    <row r="1257" spans="1:24" s="1" customFormat="1" ht="35.1" customHeight="1" x14ac:dyDescent="0.3">
      <c r="A1257" s="24" t="s">
        <v>23</v>
      </c>
      <c r="B1257" s="24" t="s">
        <v>1655</v>
      </c>
      <c r="C1257" s="12" t="s">
        <v>1656</v>
      </c>
      <c r="D1257" s="54"/>
      <c r="E1257" s="39" t="str">
        <f>HYPERLINK("https://www.google.ru/search?q=3027585-001&amp;newwindow=1&amp;tbm=isch","Еще фото")</f>
        <v>Еще фото</v>
      </c>
      <c r="F1257" s="13"/>
      <c r="G1257" s="24" t="s">
        <v>808</v>
      </c>
      <c r="H1257" s="24" t="s">
        <v>593</v>
      </c>
      <c r="I1257" s="24" t="s">
        <v>809</v>
      </c>
      <c r="J1257" s="14" t="s">
        <v>29</v>
      </c>
      <c r="K1257" s="15" t="s">
        <v>30</v>
      </c>
      <c r="L1257" s="57"/>
      <c r="M1257" s="14"/>
      <c r="N1257" s="14" t="s">
        <v>33</v>
      </c>
      <c r="O1257" s="14"/>
      <c r="P1257" s="15" t="s">
        <v>996</v>
      </c>
      <c r="Q1257" s="16">
        <v>16099</v>
      </c>
      <c r="R1257" s="17">
        <v>40</v>
      </c>
      <c r="S1257" s="18">
        <v>11108.31</v>
      </c>
      <c r="T1257" s="19" t="s">
        <v>36</v>
      </c>
      <c r="U1257" s="20" t="s">
        <v>603</v>
      </c>
      <c r="V1257" s="22">
        <v>42</v>
      </c>
      <c r="W1257" s="22">
        <v>4</v>
      </c>
      <c r="X1257" s="23"/>
    </row>
    <row r="1258" spans="1:24" s="1" customFormat="1" ht="36.950000000000003" customHeight="1" x14ac:dyDescent="0.3">
      <c r="A1258" s="24" t="s">
        <v>23</v>
      </c>
      <c r="B1258" s="24" t="s">
        <v>1655</v>
      </c>
      <c r="C1258" s="12" t="s">
        <v>1656</v>
      </c>
      <c r="D1258" s="55"/>
      <c r="E1258" s="39" t="str">
        <f>HYPERLINK("https://www.google.ru/search?q=3027585-001&amp;newwindow=1&amp;tbm=isch","Еще фото")</f>
        <v>Еще фото</v>
      </c>
      <c r="F1258" s="13"/>
      <c r="G1258" s="24" t="s">
        <v>808</v>
      </c>
      <c r="H1258" s="24" t="s">
        <v>593</v>
      </c>
      <c r="I1258" s="24" t="s">
        <v>809</v>
      </c>
      <c r="J1258" s="14" t="s">
        <v>29</v>
      </c>
      <c r="K1258" s="15" t="s">
        <v>30</v>
      </c>
      <c r="L1258" s="58"/>
      <c r="M1258" s="14"/>
      <c r="N1258" s="14" t="s">
        <v>33</v>
      </c>
      <c r="O1258" s="14"/>
      <c r="P1258" s="15" t="s">
        <v>996</v>
      </c>
      <c r="Q1258" s="16">
        <v>16099</v>
      </c>
      <c r="R1258" s="17">
        <v>40</v>
      </c>
      <c r="S1258" s="18">
        <v>11108.31</v>
      </c>
      <c r="T1258" s="19" t="s">
        <v>36</v>
      </c>
      <c r="U1258" s="20" t="s">
        <v>604</v>
      </c>
      <c r="V1258" s="22">
        <v>43</v>
      </c>
      <c r="W1258" s="22">
        <v>2</v>
      </c>
      <c r="X1258" s="23"/>
    </row>
    <row r="1259" spans="1:24" s="1" customFormat="1" ht="21" customHeight="1" x14ac:dyDescent="0.3">
      <c r="A1259" s="11" t="s">
        <v>23</v>
      </c>
      <c r="B1259" s="11" t="s">
        <v>1078</v>
      </c>
      <c r="C1259" s="26" t="s">
        <v>1657</v>
      </c>
      <c r="D1259" s="53"/>
      <c r="E1259" s="39" t="str">
        <f>HYPERLINK("https://www.google.ru/search?q=3027586-494&amp;newwindow=1&amp;tbm=isch","Еще фото")</f>
        <v>Еще фото</v>
      </c>
      <c r="F1259" s="13"/>
      <c r="G1259" s="11" t="s">
        <v>808</v>
      </c>
      <c r="H1259" s="11" t="s">
        <v>593</v>
      </c>
      <c r="I1259" s="14" t="s">
        <v>809</v>
      </c>
      <c r="J1259" s="14" t="s">
        <v>29</v>
      </c>
      <c r="K1259" s="15" t="s">
        <v>64</v>
      </c>
      <c r="L1259" s="56" t="s">
        <v>1080</v>
      </c>
      <c r="M1259" s="14"/>
      <c r="N1259" s="14" t="s">
        <v>50</v>
      </c>
      <c r="O1259" s="14"/>
      <c r="P1259" s="15" t="s">
        <v>996</v>
      </c>
      <c r="Q1259" s="16">
        <v>16299</v>
      </c>
      <c r="R1259" s="17">
        <v>40</v>
      </c>
      <c r="S1259" s="18">
        <v>11246.31</v>
      </c>
      <c r="T1259" s="19" t="s">
        <v>36</v>
      </c>
      <c r="U1259" s="20" t="s">
        <v>820</v>
      </c>
      <c r="V1259" s="22">
        <v>36</v>
      </c>
      <c r="W1259" s="22">
        <v>3</v>
      </c>
      <c r="X1259" s="23"/>
    </row>
    <row r="1260" spans="1:24" s="1" customFormat="1" ht="21" customHeight="1" x14ac:dyDescent="0.3">
      <c r="A1260" s="24" t="s">
        <v>23</v>
      </c>
      <c r="B1260" s="24" t="s">
        <v>1078</v>
      </c>
      <c r="C1260" s="27" t="s">
        <v>1657</v>
      </c>
      <c r="D1260" s="54"/>
      <c r="E1260" s="39" t="str">
        <f>HYPERLINK("https://www.google.ru/search?q=3027586-494&amp;newwindow=1&amp;tbm=isch","Еще фото")</f>
        <v>Еще фото</v>
      </c>
      <c r="F1260" s="13"/>
      <c r="G1260" s="24" t="s">
        <v>808</v>
      </c>
      <c r="H1260" s="24" t="s">
        <v>593</v>
      </c>
      <c r="I1260" s="24" t="s">
        <v>809</v>
      </c>
      <c r="J1260" s="14" t="s">
        <v>29</v>
      </c>
      <c r="K1260" s="15" t="s">
        <v>64</v>
      </c>
      <c r="L1260" s="57"/>
      <c r="M1260" s="14"/>
      <c r="N1260" s="14" t="s">
        <v>50</v>
      </c>
      <c r="O1260" s="14"/>
      <c r="P1260" s="15" t="s">
        <v>996</v>
      </c>
      <c r="Q1260" s="16">
        <v>16299</v>
      </c>
      <c r="R1260" s="17">
        <v>40</v>
      </c>
      <c r="S1260" s="18">
        <v>11246.31</v>
      </c>
      <c r="T1260" s="19" t="s">
        <v>36</v>
      </c>
      <c r="U1260" s="20" t="s">
        <v>814</v>
      </c>
      <c r="V1260" s="28">
        <v>36.5</v>
      </c>
      <c r="W1260" s="22">
        <v>6</v>
      </c>
      <c r="X1260" s="23"/>
    </row>
    <row r="1261" spans="1:24" s="1" customFormat="1" ht="21" customHeight="1" x14ac:dyDescent="0.3">
      <c r="A1261" s="24" t="s">
        <v>23</v>
      </c>
      <c r="B1261" s="24" t="s">
        <v>1078</v>
      </c>
      <c r="C1261" s="27" t="s">
        <v>1657</v>
      </c>
      <c r="D1261" s="54"/>
      <c r="E1261" s="39" t="str">
        <f>HYPERLINK("https://www.google.ru/search?q=3027586-494&amp;newwindow=1&amp;tbm=isch","Еще фото")</f>
        <v>Еще фото</v>
      </c>
      <c r="F1261" s="13"/>
      <c r="G1261" s="24" t="s">
        <v>808</v>
      </c>
      <c r="H1261" s="24" t="s">
        <v>593</v>
      </c>
      <c r="I1261" s="24" t="s">
        <v>809</v>
      </c>
      <c r="J1261" s="14" t="s">
        <v>29</v>
      </c>
      <c r="K1261" s="15" t="s">
        <v>64</v>
      </c>
      <c r="L1261" s="57"/>
      <c r="M1261" s="14"/>
      <c r="N1261" s="14" t="s">
        <v>50</v>
      </c>
      <c r="O1261" s="14"/>
      <c r="P1261" s="15" t="s">
        <v>996</v>
      </c>
      <c r="Q1261" s="16">
        <v>16299</v>
      </c>
      <c r="R1261" s="17">
        <v>40</v>
      </c>
      <c r="S1261" s="18">
        <v>11246.31</v>
      </c>
      <c r="T1261" s="19" t="s">
        <v>36</v>
      </c>
      <c r="U1261" s="20" t="s">
        <v>598</v>
      </c>
      <c r="V1261" s="22">
        <v>37</v>
      </c>
      <c r="W1261" s="22">
        <v>1</v>
      </c>
      <c r="X1261" s="23"/>
    </row>
    <row r="1262" spans="1:24" s="1" customFormat="1" ht="21" customHeight="1" x14ac:dyDescent="0.3">
      <c r="A1262" s="24" t="s">
        <v>23</v>
      </c>
      <c r="B1262" s="24" t="s">
        <v>1078</v>
      </c>
      <c r="C1262" s="27" t="s">
        <v>1657</v>
      </c>
      <c r="D1262" s="54"/>
      <c r="E1262" s="39" t="str">
        <f>HYPERLINK("https://www.google.ru/search?q=3027586-494&amp;newwindow=1&amp;tbm=isch","Еще фото")</f>
        <v>Еще фото</v>
      </c>
      <c r="F1262" s="13"/>
      <c r="G1262" s="24" t="s">
        <v>808</v>
      </c>
      <c r="H1262" s="24" t="s">
        <v>593</v>
      </c>
      <c r="I1262" s="24" t="s">
        <v>809</v>
      </c>
      <c r="J1262" s="14" t="s">
        <v>29</v>
      </c>
      <c r="K1262" s="15" t="s">
        <v>64</v>
      </c>
      <c r="L1262" s="57"/>
      <c r="M1262" s="14"/>
      <c r="N1262" s="14" t="s">
        <v>50</v>
      </c>
      <c r="O1262" s="14"/>
      <c r="P1262" s="15" t="s">
        <v>996</v>
      </c>
      <c r="Q1262" s="16">
        <v>16299</v>
      </c>
      <c r="R1262" s="17">
        <v>40</v>
      </c>
      <c r="S1262" s="18">
        <v>11246.31</v>
      </c>
      <c r="T1262" s="19" t="s">
        <v>36</v>
      </c>
      <c r="U1262" s="20" t="s">
        <v>599</v>
      </c>
      <c r="V1262" s="28">
        <v>37.5</v>
      </c>
      <c r="W1262" s="22">
        <v>1</v>
      </c>
      <c r="X1262" s="23"/>
    </row>
    <row r="1263" spans="1:24" s="1" customFormat="1" ht="32.1" customHeight="1" x14ac:dyDescent="0.3">
      <c r="A1263" s="24" t="s">
        <v>23</v>
      </c>
      <c r="B1263" s="24" t="s">
        <v>1078</v>
      </c>
      <c r="C1263" s="27" t="s">
        <v>1657</v>
      </c>
      <c r="D1263" s="55"/>
      <c r="E1263" s="39" t="str">
        <f>HYPERLINK("https://www.google.ru/search?q=3027586-494&amp;newwindow=1&amp;tbm=isch","Еще фото")</f>
        <v>Еще фото</v>
      </c>
      <c r="F1263" s="13"/>
      <c r="G1263" s="24" t="s">
        <v>808</v>
      </c>
      <c r="H1263" s="24" t="s">
        <v>593</v>
      </c>
      <c r="I1263" s="24" t="s">
        <v>809</v>
      </c>
      <c r="J1263" s="14" t="s">
        <v>29</v>
      </c>
      <c r="K1263" s="15" t="s">
        <v>64</v>
      </c>
      <c r="L1263" s="58"/>
      <c r="M1263" s="14"/>
      <c r="N1263" s="14" t="s">
        <v>50</v>
      </c>
      <c r="O1263" s="14"/>
      <c r="P1263" s="15" t="s">
        <v>996</v>
      </c>
      <c r="Q1263" s="16">
        <v>16299</v>
      </c>
      <c r="R1263" s="17">
        <v>40</v>
      </c>
      <c r="S1263" s="18">
        <v>11246.31</v>
      </c>
      <c r="T1263" s="19" t="s">
        <v>36</v>
      </c>
      <c r="U1263" s="20" t="s">
        <v>601</v>
      </c>
      <c r="V1263" s="22">
        <v>39</v>
      </c>
      <c r="W1263" s="22">
        <v>1</v>
      </c>
      <c r="X1263" s="23"/>
    </row>
    <row r="1264" spans="1:24" s="1" customFormat="1" ht="51.95" customHeight="1" x14ac:dyDescent="0.3">
      <c r="A1264" s="11" t="s">
        <v>23</v>
      </c>
      <c r="B1264" s="11" t="s">
        <v>1658</v>
      </c>
      <c r="C1264" s="12" t="s">
        <v>1659</v>
      </c>
      <c r="D1264" s="59"/>
      <c r="E1264" s="39" t="str">
        <f>HYPERLINK("https://www.google.ru/search?q=3027600-004&amp;newwindow=1&amp;tbm=isch","Еще фото")</f>
        <v>Еще фото</v>
      </c>
      <c r="F1264" s="13" t="s">
        <v>98</v>
      </c>
      <c r="G1264" s="11" t="s">
        <v>808</v>
      </c>
      <c r="H1264" s="11" t="s">
        <v>593</v>
      </c>
      <c r="I1264" s="14" t="s">
        <v>809</v>
      </c>
      <c r="J1264" s="14" t="s">
        <v>29</v>
      </c>
      <c r="K1264" s="15" t="s">
        <v>30</v>
      </c>
      <c r="L1264" s="56" t="s">
        <v>1036</v>
      </c>
      <c r="M1264" s="14"/>
      <c r="N1264" s="14" t="s">
        <v>33</v>
      </c>
      <c r="O1264" s="14"/>
      <c r="P1264" s="15" t="s">
        <v>846</v>
      </c>
      <c r="Q1264" s="16">
        <v>28699</v>
      </c>
      <c r="R1264" s="17">
        <v>40</v>
      </c>
      <c r="S1264" s="18">
        <v>19802.310000000001</v>
      </c>
      <c r="T1264" s="19" t="s">
        <v>36</v>
      </c>
      <c r="U1264" s="20" t="s">
        <v>601</v>
      </c>
      <c r="V1264" s="22">
        <v>41</v>
      </c>
      <c r="W1264" s="22">
        <v>1</v>
      </c>
      <c r="X1264" s="23"/>
    </row>
    <row r="1265" spans="1:24" s="1" customFormat="1" ht="60.95" customHeight="1" x14ac:dyDescent="0.3">
      <c r="A1265" s="24" t="s">
        <v>23</v>
      </c>
      <c r="B1265" s="24" t="s">
        <v>1658</v>
      </c>
      <c r="C1265" s="12" t="s">
        <v>1659</v>
      </c>
      <c r="D1265" s="60"/>
      <c r="E1265" s="39" t="str">
        <f>HYPERLINK("https://www.google.ru/search?q=3027600-004&amp;newwindow=1&amp;tbm=isch","Еще фото")</f>
        <v>Еще фото</v>
      </c>
      <c r="F1265" s="13" t="s">
        <v>98</v>
      </c>
      <c r="G1265" s="24" t="s">
        <v>808</v>
      </c>
      <c r="H1265" s="24" t="s">
        <v>593</v>
      </c>
      <c r="I1265" s="24" t="s">
        <v>809</v>
      </c>
      <c r="J1265" s="14" t="s">
        <v>29</v>
      </c>
      <c r="K1265" s="15" t="s">
        <v>30</v>
      </c>
      <c r="L1265" s="58"/>
      <c r="M1265" s="14"/>
      <c r="N1265" s="14" t="s">
        <v>33</v>
      </c>
      <c r="O1265" s="14"/>
      <c r="P1265" s="15" t="s">
        <v>846</v>
      </c>
      <c r="Q1265" s="16">
        <v>28699</v>
      </c>
      <c r="R1265" s="17">
        <v>40</v>
      </c>
      <c r="S1265" s="18">
        <v>19802.310000000001</v>
      </c>
      <c r="T1265" s="19" t="s">
        <v>36</v>
      </c>
      <c r="U1265" s="20" t="s">
        <v>606</v>
      </c>
      <c r="V1265" s="22">
        <v>44</v>
      </c>
      <c r="W1265" s="22">
        <v>1</v>
      </c>
      <c r="X1265" s="23"/>
    </row>
    <row r="1266" spans="1:24" s="1" customFormat="1" ht="35.1" customHeight="1" x14ac:dyDescent="0.3">
      <c r="A1266" s="11" t="s">
        <v>23</v>
      </c>
      <c r="B1266" s="11" t="s">
        <v>1034</v>
      </c>
      <c r="C1266" s="12" t="s">
        <v>1660</v>
      </c>
      <c r="D1266" s="53"/>
      <c r="E1266" s="39" t="str">
        <f>HYPERLINK("https://www.google.ru/search?q=3027600-101&amp;newwindow=1&amp;tbm=isch","Еще фото")</f>
        <v>Еще фото</v>
      </c>
      <c r="F1266" s="13"/>
      <c r="G1266" s="11" t="s">
        <v>808</v>
      </c>
      <c r="H1266" s="11" t="s">
        <v>593</v>
      </c>
      <c r="I1266" s="14" t="s">
        <v>809</v>
      </c>
      <c r="J1266" s="14" t="s">
        <v>29</v>
      </c>
      <c r="K1266" s="15" t="s">
        <v>30</v>
      </c>
      <c r="L1266" s="56" t="s">
        <v>1036</v>
      </c>
      <c r="M1266" s="14"/>
      <c r="N1266" s="14" t="s">
        <v>74</v>
      </c>
      <c r="O1266" s="14"/>
      <c r="P1266" s="15" t="s">
        <v>1037</v>
      </c>
      <c r="Q1266" s="16">
        <v>25699</v>
      </c>
      <c r="R1266" s="17">
        <v>40</v>
      </c>
      <c r="S1266" s="18">
        <v>17732.309999999998</v>
      </c>
      <c r="T1266" s="19" t="s">
        <v>36</v>
      </c>
      <c r="U1266" s="20" t="s">
        <v>601</v>
      </c>
      <c r="V1266" s="22">
        <v>41</v>
      </c>
      <c r="W1266" s="22">
        <v>1</v>
      </c>
      <c r="X1266" s="23"/>
    </row>
    <row r="1267" spans="1:24" s="1" customFormat="1" ht="35.1" customHeight="1" x14ac:dyDescent="0.3">
      <c r="A1267" s="24" t="s">
        <v>23</v>
      </c>
      <c r="B1267" s="24" t="s">
        <v>1034</v>
      </c>
      <c r="C1267" s="12" t="s">
        <v>1660</v>
      </c>
      <c r="D1267" s="54"/>
      <c r="E1267" s="39" t="str">
        <f>HYPERLINK("https://www.google.ru/search?q=3027600-101&amp;newwindow=1&amp;tbm=isch","Еще фото")</f>
        <v>Еще фото</v>
      </c>
      <c r="F1267" s="13"/>
      <c r="G1267" s="24" t="s">
        <v>808</v>
      </c>
      <c r="H1267" s="24" t="s">
        <v>593</v>
      </c>
      <c r="I1267" s="24" t="s">
        <v>809</v>
      </c>
      <c r="J1267" s="14" t="s">
        <v>29</v>
      </c>
      <c r="K1267" s="15" t="s">
        <v>30</v>
      </c>
      <c r="L1267" s="57"/>
      <c r="M1267" s="14"/>
      <c r="N1267" s="14" t="s">
        <v>74</v>
      </c>
      <c r="O1267" s="14"/>
      <c r="P1267" s="15" t="s">
        <v>1037</v>
      </c>
      <c r="Q1267" s="16">
        <v>25699</v>
      </c>
      <c r="R1267" s="17">
        <v>40</v>
      </c>
      <c r="S1267" s="18">
        <v>17732.309999999998</v>
      </c>
      <c r="T1267" s="19" t="s">
        <v>36</v>
      </c>
      <c r="U1267" s="20" t="s">
        <v>605</v>
      </c>
      <c r="V1267" s="28">
        <v>43.5</v>
      </c>
      <c r="W1267" s="22">
        <v>2</v>
      </c>
      <c r="X1267" s="23"/>
    </row>
    <row r="1268" spans="1:24" s="1" customFormat="1" ht="36.950000000000003" customHeight="1" x14ac:dyDescent="0.3">
      <c r="A1268" s="24" t="s">
        <v>23</v>
      </c>
      <c r="B1268" s="24" t="s">
        <v>1034</v>
      </c>
      <c r="C1268" s="12" t="s">
        <v>1660</v>
      </c>
      <c r="D1268" s="55"/>
      <c r="E1268" s="39" t="str">
        <f>HYPERLINK("https://www.google.ru/search?q=3027600-101&amp;newwindow=1&amp;tbm=isch","Еще фото")</f>
        <v>Еще фото</v>
      </c>
      <c r="F1268" s="13"/>
      <c r="G1268" s="24" t="s">
        <v>808</v>
      </c>
      <c r="H1268" s="24" t="s">
        <v>593</v>
      </c>
      <c r="I1268" s="24" t="s">
        <v>809</v>
      </c>
      <c r="J1268" s="14" t="s">
        <v>29</v>
      </c>
      <c r="K1268" s="15" t="s">
        <v>30</v>
      </c>
      <c r="L1268" s="58"/>
      <c r="M1268" s="14"/>
      <c r="N1268" s="14" t="s">
        <v>74</v>
      </c>
      <c r="O1268" s="14"/>
      <c r="P1268" s="15" t="s">
        <v>1037</v>
      </c>
      <c r="Q1268" s="16">
        <v>25699</v>
      </c>
      <c r="R1268" s="17">
        <v>40</v>
      </c>
      <c r="S1268" s="18">
        <v>17732.309999999998</v>
      </c>
      <c r="T1268" s="19" t="s">
        <v>36</v>
      </c>
      <c r="U1268" s="20" t="s">
        <v>607</v>
      </c>
      <c r="V1268" s="28">
        <v>44.5</v>
      </c>
      <c r="W1268" s="22">
        <v>1</v>
      </c>
      <c r="X1268" s="23"/>
    </row>
    <row r="1269" spans="1:24" s="1" customFormat="1" ht="108" customHeight="1" x14ac:dyDescent="0.3">
      <c r="A1269" s="11" t="s">
        <v>23</v>
      </c>
      <c r="B1269" s="11" t="s">
        <v>1658</v>
      </c>
      <c r="C1269" s="12" t="s">
        <v>1661</v>
      </c>
      <c r="D1269" s="25"/>
      <c r="E1269" s="39" t="str">
        <f>HYPERLINK("https://www.google.ru/search?q=3027600-310&amp;newwindow=1&amp;tbm=isch","Еще фото")</f>
        <v>Еще фото</v>
      </c>
      <c r="F1269" s="13"/>
      <c r="G1269" s="11" t="s">
        <v>808</v>
      </c>
      <c r="H1269" s="11" t="s">
        <v>593</v>
      </c>
      <c r="I1269" s="14" t="s">
        <v>809</v>
      </c>
      <c r="J1269" s="14" t="s">
        <v>29</v>
      </c>
      <c r="K1269" s="15" t="s">
        <v>30</v>
      </c>
      <c r="L1269" s="14" t="s">
        <v>1036</v>
      </c>
      <c r="M1269" s="14"/>
      <c r="N1269" s="14" t="s">
        <v>125</v>
      </c>
      <c r="O1269" s="14"/>
      <c r="P1269" s="15" t="s">
        <v>846</v>
      </c>
      <c r="Q1269" s="16">
        <v>28699</v>
      </c>
      <c r="R1269" s="17">
        <v>40</v>
      </c>
      <c r="S1269" s="18">
        <v>19802.310000000001</v>
      </c>
      <c r="T1269" s="19" t="s">
        <v>36</v>
      </c>
      <c r="U1269" s="20" t="s">
        <v>604</v>
      </c>
      <c r="V1269" s="22">
        <v>43</v>
      </c>
      <c r="W1269" s="22">
        <v>3</v>
      </c>
      <c r="X1269" s="23"/>
    </row>
    <row r="1270" spans="1:24" s="1" customFormat="1" ht="35.1" customHeight="1" x14ac:dyDescent="0.3">
      <c r="A1270" s="11" t="s">
        <v>23</v>
      </c>
      <c r="B1270" s="11" t="s">
        <v>1662</v>
      </c>
      <c r="C1270" s="12" t="s">
        <v>1663</v>
      </c>
      <c r="D1270" s="53"/>
      <c r="E1270" s="39" t="str">
        <f>HYPERLINK("https://www.google.ru/search?q=3027729-001&amp;newwindow=1&amp;tbm=isch","Еще фото")</f>
        <v>Еще фото</v>
      </c>
      <c r="F1270" s="13"/>
      <c r="G1270" s="11" t="s">
        <v>808</v>
      </c>
      <c r="H1270" s="11" t="s">
        <v>593</v>
      </c>
      <c r="I1270" s="14" t="s">
        <v>809</v>
      </c>
      <c r="J1270" s="14" t="s">
        <v>29</v>
      </c>
      <c r="K1270" s="15" t="s">
        <v>30</v>
      </c>
      <c r="L1270" s="56" t="s">
        <v>1664</v>
      </c>
      <c r="M1270" s="14" t="s">
        <v>824</v>
      </c>
      <c r="N1270" s="14" t="s">
        <v>33</v>
      </c>
      <c r="O1270" s="14"/>
      <c r="P1270" s="15" t="s">
        <v>1607</v>
      </c>
      <c r="Q1270" s="16">
        <v>24899</v>
      </c>
      <c r="R1270" s="17">
        <v>40</v>
      </c>
      <c r="S1270" s="18">
        <v>17180.309999999998</v>
      </c>
      <c r="T1270" s="19" t="s">
        <v>36</v>
      </c>
      <c r="U1270" s="20" t="s">
        <v>601</v>
      </c>
      <c r="V1270" s="22">
        <v>41</v>
      </c>
      <c r="W1270" s="22">
        <v>1</v>
      </c>
      <c r="X1270" s="23"/>
    </row>
    <row r="1271" spans="1:24" s="1" customFormat="1" ht="35.1" customHeight="1" x14ac:dyDescent="0.3">
      <c r="A1271" s="24" t="s">
        <v>23</v>
      </c>
      <c r="B1271" s="24" t="s">
        <v>1662</v>
      </c>
      <c r="C1271" s="12" t="s">
        <v>1663</v>
      </c>
      <c r="D1271" s="54"/>
      <c r="E1271" s="39" t="str">
        <f>HYPERLINK("https://www.google.ru/search?q=3027729-001&amp;newwindow=1&amp;tbm=isch","Еще фото")</f>
        <v>Еще фото</v>
      </c>
      <c r="F1271" s="13"/>
      <c r="G1271" s="24" t="s">
        <v>808</v>
      </c>
      <c r="H1271" s="24" t="s">
        <v>593</v>
      </c>
      <c r="I1271" s="24" t="s">
        <v>809</v>
      </c>
      <c r="J1271" s="14" t="s">
        <v>29</v>
      </c>
      <c r="K1271" s="15" t="s">
        <v>30</v>
      </c>
      <c r="L1271" s="57"/>
      <c r="M1271" s="14" t="s">
        <v>824</v>
      </c>
      <c r="N1271" s="14" t="s">
        <v>33</v>
      </c>
      <c r="O1271" s="14"/>
      <c r="P1271" s="15" t="s">
        <v>1607</v>
      </c>
      <c r="Q1271" s="16">
        <v>24899</v>
      </c>
      <c r="R1271" s="17">
        <v>40</v>
      </c>
      <c r="S1271" s="18">
        <v>17180.309999999998</v>
      </c>
      <c r="T1271" s="19" t="s">
        <v>36</v>
      </c>
      <c r="U1271" s="20" t="s">
        <v>603</v>
      </c>
      <c r="V1271" s="22">
        <v>42</v>
      </c>
      <c r="W1271" s="22">
        <v>1</v>
      </c>
      <c r="X1271" s="23"/>
    </row>
    <row r="1272" spans="1:24" s="1" customFormat="1" ht="36.950000000000003" customHeight="1" x14ac:dyDescent="0.3">
      <c r="A1272" s="24" t="s">
        <v>23</v>
      </c>
      <c r="B1272" s="24" t="s">
        <v>1662</v>
      </c>
      <c r="C1272" s="12" t="s">
        <v>1663</v>
      </c>
      <c r="D1272" s="55"/>
      <c r="E1272" s="39" t="str">
        <f>HYPERLINK("https://www.google.ru/search?q=3027729-001&amp;newwindow=1&amp;tbm=isch","Еще фото")</f>
        <v>Еще фото</v>
      </c>
      <c r="F1272" s="13"/>
      <c r="G1272" s="24" t="s">
        <v>808</v>
      </c>
      <c r="H1272" s="24" t="s">
        <v>593</v>
      </c>
      <c r="I1272" s="24" t="s">
        <v>809</v>
      </c>
      <c r="J1272" s="14" t="s">
        <v>29</v>
      </c>
      <c r="K1272" s="15" t="s">
        <v>30</v>
      </c>
      <c r="L1272" s="58"/>
      <c r="M1272" s="14" t="s">
        <v>824</v>
      </c>
      <c r="N1272" s="14" t="s">
        <v>33</v>
      </c>
      <c r="O1272" s="14"/>
      <c r="P1272" s="15" t="s">
        <v>1607</v>
      </c>
      <c r="Q1272" s="16">
        <v>24899</v>
      </c>
      <c r="R1272" s="17">
        <v>40</v>
      </c>
      <c r="S1272" s="18">
        <v>17180.309999999998</v>
      </c>
      <c r="T1272" s="19" t="s">
        <v>36</v>
      </c>
      <c r="U1272" s="20" t="s">
        <v>604</v>
      </c>
      <c r="V1272" s="22">
        <v>43</v>
      </c>
      <c r="W1272" s="22">
        <v>1</v>
      </c>
      <c r="X1272" s="23"/>
    </row>
    <row r="1273" spans="1:24" s="1" customFormat="1" ht="26.1" customHeight="1" x14ac:dyDescent="0.3">
      <c r="A1273" s="11" t="s">
        <v>23</v>
      </c>
      <c r="B1273" s="11" t="s">
        <v>1665</v>
      </c>
      <c r="C1273" s="12" t="s">
        <v>1666</v>
      </c>
      <c r="D1273" s="53"/>
      <c r="E1273" s="39" t="str">
        <f>HYPERLINK("https://www.google.ru/search?q=3027764-500&amp;newwindow=1&amp;tbm=isch","Еще фото")</f>
        <v>Еще фото</v>
      </c>
      <c r="F1273" s="13"/>
      <c r="G1273" s="11" t="s">
        <v>808</v>
      </c>
      <c r="H1273" s="11" t="s">
        <v>593</v>
      </c>
      <c r="I1273" s="14" t="s">
        <v>809</v>
      </c>
      <c r="J1273" s="14" t="s">
        <v>29</v>
      </c>
      <c r="K1273" s="15" t="s">
        <v>578</v>
      </c>
      <c r="L1273" s="56" t="s">
        <v>1667</v>
      </c>
      <c r="M1273" s="14"/>
      <c r="N1273" s="14" t="s">
        <v>67</v>
      </c>
      <c r="O1273" s="14"/>
      <c r="P1273" s="15" t="s">
        <v>1668</v>
      </c>
      <c r="Q1273" s="16">
        <v>13699</v>
      </c>
      <c r="R1273" s="17">
        <v>40</v>
      </c>
      <c r="S1273" s="18">
        <v>9452.31</v>
      </c>
      <c r="T1273" s="19" t="s">
        <v>36</v>
      </c>
      <c r="U1273" s="20" t="s">
        <v>1669</v>
      </c>
      <c r="V1273" s="28">
        <v>35.5</v>
      </c>
      <c r="W1273" s="22">
        <v>2</v>
      </c>
      <c r="X1273" s="23"/>
    </row>
    <row r="1274" spans="1:24" s="1" customFormat="1" ht="26.1" customHeight="1" x14ac:dyDescent="0.3">
      <c r="A1274" s="24" t="s">
        <v>23</v>
      </c>
      <c r="B1274" s="24" t="s">
        <v>1665</v>
      </c>
      <c r="C1274" s="12" t="s">
        <v>1666</v>
      </c>
      <c r="D1274" s="54"/>
      <c r="E1274" s="39" t="str">
        <f>HYPERLINK("https://www.google.ru/search?q=3027764-500&amp;newwindow=1&amp;tbm=isch","Еще фото")</f>
        <v>Еще фото</v>
      </c>
      <c r="F1274" s="13"/>
      <c r="G1274" s="24" t="s">
        <v>808</v>
      </c>
      <c r="H1274" s="24" t="s">
        <v>593</v>
      </c>
      <c r="I1274" s="24" t="s">
        <v>809</v>
      </c>
      <c r="J1274" s="14" t="s">
        <v>29</v>
      </c>
      <c r="K1274" s="15" t="s">
        <v>578</v>
      </c>
      <c r="L1274" s="57"/>
      <c r="M1274" s="14"/>
      <c r="N1274" s="14" t="s">
        <v>67</v>
      </c>
      <c r="O1274" s="14"/>
      <c r="P1274" s="15" t="s">
        <v>1668</v>
      </c>
      <c r="Q1274" s="16">
        <v>13699</v>
      </c>
      <c r="R1274" s="17">
        <v>40</v>
      </c>
      <c r="S1274" s="18">
        <v>9452.31</v>
      </c>
      <c r="T1274" s="19" t="s">
        <v>36</v>
      </c>
      <c r="U1274" s="20" t="s">
        <v>1345</v>
      </c>
      <c r="V1274" s="22">
        <v>36</v>
      </c>
      <c r="W1274" s="22">
        <v>1</v>
      </c>
      <c r="X1274" s="23"/>
    </row>
    <row r="1275" spans="1:24" s="1" customFormat="1" ht="26.1" customHeight="1" x14ac:dyDescent="0.3">
      <c r="A1275" s="24" t="s">
        <v>23</v>
      </c>
      <c r="B1275" s="24" t="s">
        <v>1665</v>
      </c>
      <c r="C1275" s="12" t="s">
        <v>1666</v>
      </c>
      <c r="D1275" s="54"/>
      <c r="E1275" s="39" t="str">
        <f>HYPERLINK("https://www.google.ru/search?q=3027764-500&amp;newwindow=1&amp;tbm=isch","Еще фото")</f>
        <v>Еще фото</v>
      </c>
      <c r="F1275" s="13"/>
      <c r="G1275" s="24" t="s">
        <v>808</v>
      </c>
      <c r="H1275" s="24" t="s">
        <v>593</v>
      </c>
      <c r="I1275" s="24" t="s">
        <v>809</v>
      </c>
      <c r="J1275" s="14" t="s">
        <v>29</v>
      </c>
      <c r="K1275" s="15" t="s">
        <v>578</v>
      </c>
      <c r="L1275" s="57"/>
      <c r="M1275" s="14"/>
      <c r="N1275" s="14" t="s">
        <v>67</v>
      </c>
      <c r="O1275" s="14"/>
      <c r="P1275" s="15" t="s">
        <v>1668</v>
      </c>
      <c r="Q1275" s="16">
        <v>13699</v>
      </c>
      <c r="R1275" s="17">
        <v>40</v>
      </c>
      <c r="S1275" s="18">
        <v>9452.31</v>
      </c>
      <c r="T1275" s="19" t="s">
        <v>36</v>
      </c>
      <c r="U1275" s="20" t="s">
        <v>1670</v>
      </c>
      <c r="V1275" s="28">
        <v>36.5</v>
      </c>
      <c r="W1275" s="22">
        <v>1</v>
      </c>
      <c r="X1275" s="23"/>
    </row>
    <row r="1276" spans="1:24" s="1" customFormat="1" ht="26.1" customHeight="1" x14ac:dyDescent="0.3">
      <c r="A1276" s="24" t="s">
        <v>23</v>
      </c>
      <c r="B1276" s="24" t="s">
        <v>1665</v>
      </c>
      <c r="C1276" s="12" t="s">
        <v>1666</v>
      </c>
      <c r="D1276" s="55"/>
      <c r="E1276" s="39" t="str">
        <f>HYPERLINK("https://www.google.ru/search?q=3027764-500&amp;newwindow=1&amp;tbm=isch","Еще фото")</f>
        <v>Еще фото</v>
      </c>
      <c r="F1276" s="13"/>
      <c r="G1276" s="24" t="s">
        <v>808</v>
      </c>
      <c r="H1276" s="24" t="s">
        <v>593</v>
      </c>
      <c r="I1276" s="24" t="s">
        <v>809</v>
      </c>
      <c r="J1276" s="14" t="s">
        <v>29</v>
      </c>
      <c r="K1276" s="15" t="s">
        <v>578</v>
      </c>
      <c r="L1276" s="58"/>
      <c r="M1276" s="14"/>
      <c r="N1276" s="14" t="s">
        <v>67</v>
      </c>
      <c r="O1276" s="14"/>
      <c r="P1276" s="15" t="s">
        <v>1668</v>
      </c>
      <c r="Q1276" s="16">
        <v>13699</v>
      </c>
      <c r="R1276" s="17">
        <v>40</v>
      </c>
      <c r="S1276" s="18">
        <v>9452.31</v>
      </c>
      <c r="T1276" s="19" t="s">
        <v>36</v>
      </c>
      <c r="U1276" s="20" t="s">
        <v>1671</v>
      </c>
      <c r="V1276" s="22">
        <v>38</v>
      </c>
      <c r="W1276" s="22">
        <v>1</v>
      </c>
      <c r="X1276" s="23"/>
    </row>
    <row r="1277" spans="1:24" s="1" customFormat="1" ht="108" customHeight="1" x14ac:dyDescent="0.3">
      <c r="A1277" s="11" t="s">
        <v>23</v>
      </c>
      <c r="B1277" s="11" t="s">
        <v>1672</v>
      </c>
      <c r="C1277" s="12" t="s">
        <v>1673</v>
      </c>
      <c r="D1277" s="25"/>
      <c r="E1277" s="39" t="str">
        <f>HYPERLINK("https://www.google.ru/search?q=3027776-003&amp;newwindow=1&amp;tbm=isch","Еще фото")</f>
        <v>Еще фото</v>
      </c>
      <c r="F1277" s="13"/>
      <c r="G1277" s="11" t="s">
        <v>808</v>
      </c>
      <c r="H1277" s="11" t="s">
        <v>593</v>
      </c>
      <c r="I1277" s="14" t="s">
        <v>809</v>
      </c>
      <c r="J1277" s="14" t="s">
        <v>29</v>
      </c>
      <c r="K1277" s="15" t="s">
        <v>30</v>
      </c>
      <c r="L1277" s="14" t="s">
        <v>1674</v>
      </c>
      <c r="M1277" s="14"/>
      <c r="N1277" s="14" t="s">
        <v>33</v>
      </c>
      <c r="O1277" s="14"/>
      <c r="P1277" s="15" t="s">
        <v>1675</v>
      </c>
      <c r="Q1277" s="16">
        <v>15199</v>
      </c>
      <c r="R1277" s="17">
        <v>40</v>
      </c>
      <c r="S1277" s="18">
        <v>10487.31</v>
      </c>
      <c r="T1277" s="19" t="s">
        <v>36</v>
      </c>
      <c r="U1277" s="20" t="s">
        <v>599</v>
      </c>
      <c r="V1277" s="28">
        <v>39.5</v>
      </c>
      <c r="W1277" s="22">
        <v>1</v>
      </c>
      <c r="X1277" s="23"/>
    </row>
    <row r="1278" spans="1:24" s="1" customFormat="1" ht="108" customHeight="1" x14ac:dyDescent="0.3">
      <c r="A1278" s="11" t="s">
        <v>23</v>
      </c>
      <c r="B1278" s="11" t="s">
        <v>1672</v>
      </c>
      <c r="C1278" s="12" t="s">
        <v>1676</v>
      </c>
      <c r="D1278" s="25"/>
      <c r="E1278" s="39" t="str">
        <f>HYPERLINK("https://www.google.ru/search?q=3027776-103&amp;newwindow=1&amp;tbm=isch","Еще фото")</f>
        <v>Еще фото</v>
      </c>
      <c r="F1278" s="13"/>
      <c r="G1278" s="11" t="s">
        <v>808</v>
      </c>
      <c r="H1278" s="11" t="s">
        <v>593</v>
      </c>
      <c r="I1278" s="14" t="s">
        <v>809</v>
      </c>
      <c r="J1278" s="14" t="s">
        <v>29</v>
      </c>
      <c r="K1278" s="15" t="s">
        <v>30</v>
      </c>
      <c r="L1278" s="14" t="s">
        <v>1677</v>
      </c>
      <c r="M1278" s="14"/>
      <c r="N1278" s="14" t="s">
        <v>84</v>
      </c>
      <c r="O1278" s="14"/>
      <c r="P1278" s="15" t="s">
        <v>1675</v>
      </c>
      <c r="Q1278" s="16">
        <v>15199</v>
      </c>
      <c r="R1278" s="17">
        <v>40</v>
      </c>
      <c r="S1278" s="18">
        <v>10487.31</v>
      </c>
      <c r="T1278" s="19" t="s">
        <v>36</v>
      </c>
      <c r="U1278" s="20" t="s">
        <v>599</v>
      </c>
      <c r="V1278" s="28">
        <v>39.5</v>
      </c>
      <c r="W1278" s="22">
        <v>1</v>
      </c>
      <c r="X1278" s="23"/>
    </row>
    <row r="1279" spans="1:24" s="1" customFormat="1" ht="108" customHeight="1" x14ac:dyDescent="0.3">
      <c r="A1279" s="11" t="s">
        <v>23</v>
      </c>
      <c r="B1279" s="11" t="s">
        <v>1672</v>
      </c>
      <c r="C1279" s="12" t="s">
        <v>1678</v>
      </c>
      <c r="D1279" s="25"/>
      <c r="E1279" s="39" t="str">
        <f>HYPERLINK("https://www.google.ru/search?q=3027776-401&amp;newwindow=1&amp;tbm=isch","Еще фото")</f>
        <v>Еще фото</v>
      </c>
      <c r="F1279" s="13"/>
      <c r="G1279" s="11" t="s">
        <v>808</v>
      </c>
      <c r="H1279" s="11" t="s">
        <v>593</v>
      </c>
      <c r="I1279" s="14" t="s">
        <v>809</v>
      </c>
      <c r="J1279" s="14" t="s">
        <v>29</v>
      </c>
      <c r="K1279" s="15" t="s">
        <v>30</v>
      </c>
      <c r="L1279" s="14" t="s">
        <v>1674</v>
      </c>
      <c r="M1279" s="14"/>
      <c r="N1279" s="14" t="s">
        <v>91</v>
      </c>
      <c r="O1279" s="14"/>
      <c r="P1279" s="15" t="s">
        <v>1675</v>
      </c>
      <c r="Q1279" s="16">
        <v>15999</v>
      </c>
      <c r="R1279" s="17">
        <v>40</v>
      </c>
      <c r="S1279" s="18">
        <v>11039.31</v>
      </c>
      <c r="T1279" s="19" t="s">
        <v>36</v>
      </c>
      <c r="U1279" s="20" t="s">
        <v>605</v>
      </c>
      <c r="V1279" s="28">
        <v>43.5</v>
      </c>
      <c r="W1279" s="22">
        <v>1</v>
      </c>
      <c r="X1279" s="23"/>
    </row>
    <row r="1280" spans="1:24" s="1" customFormat="1" ht="108" customHeight="1" x14ac:dyDescent="0.3">
      <c r="A1280" s="11" t="s">
        <v>23</v>
      </c>
      <c r="B1280" s="11" t="s">
        <v>1679</v>
      </c>
      <c r="C1280" s="12" t="s">
        <v>1680</v>
      </c>
      <c r="D1280" s="25"/>
      <c r="E1280" s="39" t="str">
        <f>HYPERLINK("https://www.google.ru/search?q=3027971-100&amp;newwindow=1&amp;tbm=isch","Еще фото")</f>
        <v>Еще фото</v>
      </c>
      <c r="F1280" s="13"/>
      <c r="G1280" s="11" t="s">
        <v>808</v>
      </c>
      <c r="H1280" s="11" t="s">
        <v>593</v>
      </c>
      <c r="I1280" s="14" t="s">
        <v>809</v>
      </c>
      <c r="J1280" s="14" t="s">
        <v>29</v>
      </c>
      <c r="K1280" s="15" t="s">
        <v>30</v>
      </c>
      <c r="L1280" s="14" t="s">
        <v>1681</v>
      </c>
      <c r="M1280" s="14" t="s">
        <v>1682</v>
      </c>
      <c r="N1280" s="14" t="s">
        <v>1377</v>
      </c>
      <c r="O1280" s="14"/>
      <c r="P1280" s="15" t="s">
        <v>923</v>
      </c>
      <c r="Q1280" s="16">
        <v>19199</v>
      </c>
      <c r="R1280" s="17">
        <v>40</v>
      </c>
      <c r="S1280" s="18">
        <v>13247.309999999998</v>
      </c>
      <c r="T1280" s="19" t="s">
        <v>36</v>
      </c>
      <c r="U1280" s="20" t="s">
        <v>599</v>
      </c>
      <c r="V1280" s="28">
        <v>39.5</v>
      </c>
      <c r="W1280" s="22">
        <v>1</v>
      </c>
      <c r="X1280" s="23"/>
    </row>
    <row r="1281" spans="1:24" s="1" customFormat="1" ht="108" customHeight="1" x14ac:dyDescent="0.3">
      <c r="A1281" s="11" t="s">
        <v>23</v>
      </c>
      <c r="B1281" s="11" t="s">
        <v>1232</v>
      </c>
      <c r="C1281" s="12" t="s">
        <v>1683</v>
      </c>
      <c r="D1281" s="25"/>
      <c r="E1281" s="39" t="str">
        <f>HYPERLINK("https://www.google.ru/search?q=3028002-044&amp;newwindow=1&amp;tbm=isch","Еще фото")</f>
        <v>Еще фото</v>
      </c>
      <c r="F1281" s="13"/>
      <c r="G1281" s="11" t="s">
        <v>808</v>
      </c>
      <c r="H1281" s="11" t="s">
        <v>593</v>
      </c>
      <c r="I1281" s="14" t="s">
        <v>809</v>
      </c>
      <c r="J1281" s="14" t="s">
        <v>29</v>
      </c>
      <c r="K1281" s="15" t="s">
        <v>30</v>
      </c>
      <c r="L1281" s="14" t="s">
        <v>1684</v>
      </c>
      <c r="M1281" s="14" t="s">
        <v>824</v>
      </c>
      <c r="N1281" s="14" t="s">
        <v>84</v>
      </c>
      <c r="O1281" s="14"/>
      <c r="P1281" s="15" t="s">
        <v>1685</v>
      </c>
      <c r="Q1281" s="16">
        <v>16599</v>
      </c>
      <c r="R1281" s="17">
        <v>40</v>
      </c>
      <c r="S1281" s="18">
        <v>11453.31</v>
      </c>
      <c r="T1281" s="19" t="s">
        <v>36</v>
      </c>
      <c r="U1281" s="20" t="s">
        <v>605</v>
      </c>
      <c r="V1281" s="28">
        <v>43.5</v>
      </c>
      <c r="W1281" s="22">
        <v>1</v>
      </c>
      <c r="X1281" s="23"/>
    </row>
    <row r="1282" spans="1:24" s="1" customFormat="1" ht="17.100000000000001" customHeight="1" x14ac:dyDescent="0.3">
      <c r="A1282" s="11" t="s">
        <v>23</v>
      </c>
      <c r="B1282" s="11" t="s">
        <v>1232</v>
      </c>
      <c r="C1282" s="12" t="s">
        <v>1686</v>
      </c>
      <c r="D1282" s="53"/>
      <c r="E1282" s="39" t="str">
        <f t="shared" ref="E1282:E1287" si="26">HYPERLINK("https://www.google.ru/search?q=3028002-103&amp;newwindow=1&amp;tbm=isch","Еще фото")</f>
        <v>Еще фото</v>
      </c>
      <c r="F1282" s="13"/>
      <c r="G1282" s="11" t="s">
        <v>808</v>
      </c>
      <c r="H1282" s="11" t="s">
        <v>593</v>
      </c>
      <c r="I1282" s="14" t="s">
        <v>809</v>
      </c>
      <c r="J1282" s="14" t="s">
        <v>29</v>
      </c>
      <c r="K1282" s="15" t="s">
        <v>30</v>
      </c>
      <c r="L1282" s="56" t="s">
        <v>1684</v>
      </c>
      <c r="M1282" s="14" t="s">
        <v>824</v>
      </c>
      <c r="N1282" s="14" t="s">
        <v>74</v>
      </c>
      <c r="O1282" s="14"/>
      <c r="P1282" s="15" t="s">
        <v>1685</v>
      </c>
      <c r="Q1282" s="16">
        <v>16599</v>
      </c>
      <c r="R1282" s="17">
        <v>40</v>
      </c>
      <c r="S1282" s="18">
        <v>11453.31</v>
      </c>
      <c r="T1282" s="19" t="s">
        <v>36</v>
      </c>
      <c r="U1282" s="20" t="s">
        <v>598</v>
      </c>
      <c r="V1282" s="22">
        <v>39</v>
      </c>
      <c r="W1282" s="22">
        <v>1</v>
      </c>
      <c r="X1282" s="23"/>
    </row>
    <row r="1283" spans="1:24" s="1" customFormat="1" ht="17.100000000000001" customHeight="1" x14ac:dyDescent="0.3">
      <c r="A1283" s="24" t="s">
        <v>23</v>
      </c>
      <c r="B1283" s="24" t="s">
        <v>1232</v>
      </c>
      <c r="C1283" s="12" t="s">
        <v>1686</v>
      </c>
      <c r="D1283" s="54"/>
      <c r="E1283" s="39" t="str">
        <f t="shared" si="26"/>
        <v>Еще фото</v>
      </c>
      <c r="F1283" s="13"/>
      <c r="G1283" s="24" t="s">
        <v>808</v>
      </c>
      <c r="H1283" s="24" t="s">
        <v>593</v>
      </c>
      <c r="I1283" s="24" t="s">
        <v>809</v>
      </c>
      <c r="J1283" s="14" t="s">
        <v>29</v>
      </c>
      <c r="K1283" s="15" t="s">
        <v>30</v>
      </c>
      <c r="L1283" s="57"/>
      <c r="M1283" s="14" t="s">
        <v>824</v>
      </c>
      <c r="N1283" s="14" t="s">
        <v>74</v>
      </c>
      <c r="O1283" s="14"/>
      <c r="P1283" s="15" t="s">
        <v>1685</v>
      </c>
      <c r="Q1283" s="16">
        <v>16599</v>
      </c>
      <c r="R1283" s="17">
        <v>40</v>
      </c>
      <c r="S1283" s="18">
        <v>11453.31</v>
      </c>
      <c r="T1283" s="19" t="s">
        <v>36</v>
      </c>
      <c r="U1283" s="20" t="s">
        <v>600</v>
      </c>
      <c r="V1283" s="22">
        <v>40</v>
      </c>
      <c r="W1283" s="22">
        <v>1</v>
      </c>
      <c r="X1283" s="23"/>
    </row>
    <row r="1284" spans="1:24" s="1" customFormat="1" ht="17.100000000000001" customHeight="1" x14ac:dyDescent="0.3">
      <c r="A1284" s="24" t="s">
        <v>23</v>
      </c>
      <c r="B1284" s="24" t="s">
        <v>1232</v>
      </c>
      <c r="C1284" s="12" t="s">
        <v>1686</v>
      </c>
      <c r="D1284" s="54"/>
      <c r="E1284" s="39" t="str">
        <f t="shared" si="26"/>
        <v>Еще фото</v>
      </c>
      <c r="F1284" s="13"/>
      <c r="G1284" s="24" t="s">
        <v>808</v>
      </c>
      <c r="H1284" s="24" t="s">
        <v>593</v>
      </c>
      <c r="I1284" s="24" t="s">
        <v>809</v>
      </c>
      <c r="J1284" s="14" t="s">
        <v>29</v>
      </c>
      <c r="K1284" s="15" t="s">
        <v>30</v>
      </c>
      <c r="L1284" s="57"/>
      <c r="M1284" s="14" t="s">
        <v>824</v>
      </c>
      <c r="N1284" s="14" t="s">
        <v>74</v>
      </c>
      <c r="O1284" s="14"/>
      <c r="P1284" s="15" t="s">
        <v>1685</v>
      </c>
      <c r="Q1284" s="16">
        <v>16599</v>
      </c>
      <c r="R1284" s="17">
        <v>40</v>
      </c>
      <c r="S1284" s="18">
        <v>11453.31</v>
      </c>
      <c r="T1284" s="19" t="s">
        <v>36</v>
      </c>
      <c r="U1284" s="20" t="s">
        <v>601</v>
      </c>
      <c r="V1284" s="22">
        <v>41</v>
      </c>
      <c r="W1284" s="22">
        <v>1</v>
      </c>
      <c r="X1284" s="23"/>
    </row>
    <row r="1285" spans="1:24" s="1" customFormat="1" ht="17.100000000000001" customHeight="1" x14ac:dyDescent="0.3">
      <c r="A1285" s="24" t="s">
        <v>23</v>
      </c>
      <c r="B1285" s="24" t="s">
        <v>1232</v>
      </c>
      <c r="C1285" s="12" t="s">
        <v>1686</v>
      </c>
      <c r="D1285" s="54"/>
      <c r="E1285" s="39" t="str">
        <f t="shared" si="26"/>
        <v>Еще фото</v>
      </c>
      <c r="F1285" s="13"/>
      <c r="G1285" s="24" t="s">
        <v>808</v>
      </c>
      <c r="H1285" s="24" t="s">
        <v>593</v>
      </c>
      <c r="I1285" s="24" t="s">
        <v>809</v>
      </c>
      <c r="J1285" s="14" t="s">
        <v>29</v>
      </c>
      <c r="K1285" s="15" t="s">
        <v>30</v>
      </c>
      <c r="L1285" s="57"/>
      <c r="M1285" s="14" t="s">
        <v>824</v>
      </c>
      <c r="N1285" s="14" t="s">
        <v>74</v>
      </c>
      <c r="O1285" s="14"/>
      <c r="P1285" s="15" t="s">
        <v>1685</v>
      </c>
      <c r="Q1285" s="16">
        <v>16599</v>
      </c>
      <c r="R1285" s="17">
        <v>40</v>
      </c>
      <c r="S1285" s="18">
        <v>11453.31</v>
      </c>
      <c r="T1285" s="19" t="s">
        <v>36</v>
      </c>
      <c r="U1285" s="20" t="s">
        <v>602</v>
      </c>
      <c r="V1285" s="28">
        <v>41.5</v>
      </c>
      <c r="W1285" s="22">
        <v>3</v>
      </c>
      <c r="X1285" s="23"/>
    </row>
    <row r="1286" spans="1:24" s="1" customFormat="1" ht="17.100000000000001" customHeight="1" x14ac:dyDescent="0.3">
      <c r="A1286" s="24" t="s">
        <v>23</v>
      </c>
      <c r="B1286" s="24" t="s">
        <v>1232</v>
      </c>
      <c r="C1286" s="12" t="s">
        <v>1686</v>
      </c>
      <c r="D1286" s="54"/>
      <c r="E1286" s="39" t="str">
        <f t="shared" si="26"/>
        <v>Еще фото</v>
      </c>
      <c r="F1286" s="13"/>
      <c r="G1286" s="24" t="s">
        <v>808</v>
      </c>
      <c r="H1286" s="24" t="s">
        <v>593</v>
      </c>
      <c r="I1286" s="24" t="s">
        <v>809</v>
      </c>
      <c r="J1286" s="14" t="s">
        <v>29</v>
      </c>
      <c r="K1286" s="15" t="s">
        <v>30</v>
      </c>
      <c r="L1286" s="57"/>
      <c r="M1286" s="14" t="s">
        <v>824</v>
      </c>
      <c r="N1286" s="14" t="s">
        <v>74</v>
      </c>
      <c r="O1286" s="14"/>
      <c r="P1286" s="15" t="s">
        <v>1685</v>
      </c>
      <c r="Q1286" s="16">
        <v>16599</v>
      </c>
      <c r="R1286" s="17">
        <v>40</v>
      </c>
      <c r="S1286" s="18">
        <v>11453.31</v>
      </c>
      <c r="T1286" s="19" t="s">
        <v>36</v>
      </c>
      <c r="U1286" s="20" t="s">
        <v>604</v>
      </c>
      <c r="V1286" s="22">
        <v>43</v>
      </c>
      <c r="W1286" s="22">
        <v>1</v>
      </c>
      <c r="X1286" s="23"/>
    </row>
    <row r="1287" spans="1:24" s="1" customFormat="1" ht="21.95" customHeight="1" x14ac:dyDescent="0.3">
      <c r="A1287" s="24" t="s">
        <v>23</v>
      </c>
      <c r="B1287" s="24" t="s">
        <v>1232</v>
      </c>
      <c r="C1287" s="12" t="s">
        <v>1686</v>
      </c>
      <c r="D1287" s="55"/>
      <c r="E1287" s="39" t="str">
        <f t="shared" si="26"/>
        <v>Еще фото</v>
      </c>
      <c r="F1287" s="13"/>
      <c r="G1287" s="24" t="s">
        <v>808</v>
      </c>
      <c r="H1287" s="24" t="s">
        <v>593</v>
      </c>
      <c r="I1287" s="24" t="s">
        <v>809</v>
      </c>
      <c r="J1287" s="14" t="s">
        <v>29</v>
      </c>
      <c r="K1287" s="15" t="s">
        <v>30</v>
      </c>
      <c r="L1287" s="58"/>
      <c r="M1287" s="14" t="s">
        <v>824</v>
      </c>
      <c r="N1287" s="14" t="s">
        <v>74</v>
      </c>
      <c r="O1287" s="14"/>
      <c r="P1287" s="15" t="s">
        <v>1685</v>
      </c>
      <c r="Q1287" s="16">
        <v>16599</v>
      </c>
      <c r="R1287" s="17">
        <v>40</v>
      </c>
      <c r="S1287" s="18">
        <v>11453.31</v>
      </c>
      <c r="T1287" s="19" t="s">
        <v>36</v>
      </c>
      <c r="U1287" s="20" t="s">
        <v>606</v>
      </c>
      <c r="V1287" s="22">
        <v>44</v>
      </c>
      <c r="W1287" s="22">
        <v>1</v>
      </c>
      <c r="X1287" s="23"/>
    </row>
    <row r="1288" spans="1:24" s="1" customFormat="1" ht="51.95" customHeight="1" x14ac:dyDescent="0.3">
      <c r="A1288" s="11" t="s">
        <v>23</v>
      </c>
      <c r="B1288" s="11" t="s">
        <v>1232</v>
      </c>
      <c r="C1288" s="12" t="s">
        <v>1687</v>
      </c>
      <c r="D1288" s="59"/>
      <c r="E1288" s="39" t="str">
        <f>HYPERLINK("https://www.google.ru/search?q=3028002-452&amp;newwindow=1&amp;tbm=isch","Еще фото")</f>
        <v>Еще фото</v>
      </c>
      <c r="F1288" s="13"/>
      <c r="G1288" s="11" t="s">
        <v>808</v>
      </c>
      <c r="H1288" s="11" t="s">
        <v>593</v>
      </c>
      <c r="I1288" s="14" t="s">
        <v>809</v>
      </c>
      <c r="J1288" s="14" t="s">
        <v>29</v>
      </c>
      <c r="K1288" s="15" t="s">
        <v>30</v>
      </c>
      <c r="L1288" s="56" t="s">
        <v>1684</v>
      </c>
      <c r="M1288" s="14" t="s">
        <v>824</v>
      </c>
      <c r="N1288" s="14" t="s">
        <v>91</v>
      </c>
      <c r="O1288" s="14"/>
      <c r="P1288" s="15" t="s">
        <v>1685</v>
      </c>
      <c r="Q1288" s="16">
        <v>16599</v>
      </c>
      <c r="R1288" s="17">
        <v>40</v>
      </c>
      <c r="S1288" s="18">
        <v>11453.31</v>
      </c>
      <c r="T1288" s="19" t="s">
        <v>36</v>
      </c>
      <c r="U1288" s="20" t="s">
        <v>602</v>
      </c>
      <c r="V1288" s="28">
        <v>41.5</v>
      </c>
      <c r="W1288" s="22">
        <v>1</v>
      </c>
      <c r="X1288" s="23"/>
    </row>
    <row r="1289" spans="1:24" s="1" customFormat="1" ht="60.95" customHeight="1" x14ac:dyDescent="0.3">
      <c r="A1289" s="24" t="s">
        <v>23</v>
      </c>
      <c r="B1289" s="24" t="s">
        <v>1232</v>
      </c>
      <c r="C1289" s="12" t="s">
        <v>1687</v>
      </c>
      <c r="D1289" s="60"/>
      <c r="E1289" s="39" t="str">
        <f>HYPERLINK("https://www.google.ru/search?q=3028002-452&amp;newwindow=1&amp;tbm=isch","Еще фото")</f>
        <v>Еще фото</v>
      </c>
      <c r="F1289" s="13"/>
      <c r="G1289" s="24" t="s">
        <v>808</v>
      </c>
      <c r="H1289" s="24" t="s">
        <v>593</v>
      </c>
      <c r="I1289" s="24" t="s">
        <v>809</v>
      </c>
      <c r="J1289" s="14" t="s">
        <v>29</v>
      </c>
      <c r="K1289" s="15" t="s">
        <v>30</v>
      </c>
      <c r="L1289" s="58"/>
      <c r="M1289" s="14" t="s">
        <v>824</v>
      </c>
      <c r="N1289" s="14" t="s">
        <v>91</v>
      </c>
      <c r="O1289" s="14"/>
      <c r="P1289" s="15" t="s">
        <v>1685</v>
      </c>
      <c r="Q1289" s="16">
        <v>16599</v>
      </c>
      <c r="R1289" s="17">
        <v>40</v>
      </c>
      <c r="S1289" s="18">
        <v>11453.31</v>
      </c>
      <c r="T1289" s="19" t="s">
        <v>36</v>
      </c>
      <c r="U1289" s="20" t="s">
        <v>604</v>
      </c>
      <c r="V1289" s="22">
        <v>43</v>
      </c>
      <c r="W1289" s="22">
        <v>3</v>
      </c>
      <c r="X1289" s="23"/>
    </row>
    <row r="1290" spans="1:24" s="1" customFormat="1" ht="35.1" customHeight="1" x14ac:dyDescent="0.3">
      <c r="A1290" s="11" t="s">
        <v>23</v>
      </c>
      <c r="B1290" s="11" t="s">
        <v>1688</v>
      </c>
      <c r="C1290" s="12" t="s">
        <v>1689</v>
      </c>
      <c r="D1290" s="53"/>
      <c r="E1290" s="39" t="str">
        <f>HYPERLINK("https://www.google.ru/search?q=3028003-001&amp;newwindow=1&amp;tbm=isch","Еще фото")</f>
        <v>Еще фото</v>
      </c>
      <c r="F1290" s="13"/>
      <c r="G1290" s="11" t="s">
        <v>808</v>
      </c>
      <c r="H1290" s="11" t="s">
        <v>593</v>
      </c>
      <c r="I1290" s="14" t="s">
        <v>809</v>
      </c>
      <c r="J1290" s="14" t="s">
        <v>29</v>
      </c>
      <c r="K1290" s="15" t="s">
        <v>64</v>
      </c>
      <c r="L1290" s="56" t="s">
        <v>1690</v>
      </c>
      <c r="M1290" s="14"/>
      <c r="N1290" s="14" t="s">
        <v>33</v>
      </c>
      <c r="O1290" s="14"/>
      <c r="P1290" s="15" t="s">
        <v>597</v>
      </c>
      <c r="Q1290" s="16">
        <v>15499</v>
      </c>
      <c r="R1290" s="17">
        <v>40</v>
      </c>
      <c r="S1290" s="18">
        <v>10694.31</v>
      </c>
      <c r="T1290" s="19" t="s">
        <v>36</v>
      </c>
      <c r="U1290" s="20" t="s">
        <v>814</v>
      </c>
      <c r="V1290" s="28">
        <v>36.5</v>
      </c>
      <c r="W1290" s="22">
        <v>7</v>
      </c>
      <c r="X1290" s="23"/>
    </row>
    <row r="1291" spans="1:24" s="1" customFormat="1" ht="35.1" customHeight="1" x14ac:dyDescent="0.3">
      <c r="A1291" s="24" t="s">
        <v>23</v>
      </c>
      <c r="B1291" s="24" t="s">
        <v>1688</v>
      </c>
      <c r="C1291" s="12" t="s">
        <v>1689</v>
      </c>
      <c r="D1291" s="54"/>
      <c r="E1291" s="39" t="str">
        <f>HYPERLINK("https://www.google.ru/search?q=3028003-001&amp;newwindow=1&amp;tbm=isch","Еще фото")</f>
        <v>Еще фото</v>
      </c>
      <c r="F1291" s="13"/>
      <c r="G1291" s="24" t="s">
        <v>808</v>
      </c>
      <c r="H1291" s="24" t="s">
        <v>593</v>
      </c>
      <c r="I1291" s="24" t="s">
        <v>809</v>
      </c>
      <c r="J1291" s="14" t="s">
        <v>29</v>
      </c>
      <c r="K1291" s="15" t="s">
        <v>64</v>
      </c>
      <c r="L1291" s="57"/>
      <c r="M1291" s="14"/>
      <c r="N1291" s="14" t="s">
        <v>33</v>
      </c>
      <c r="O1291" s="14"/>
      <c r="P1291" s="15" t="s">
        <v>597</v>
      </c>
      <c r="Q1291" s="16">
        <v>15499</v>
      </c>
      <c r="R1291" s="17">
        <v>40</v>
      </c>
      <c r="S1291" s="18">
        <v>10694.31</v>
      </c>
      <c r="T1291" s="19" t="s">
        <v>36</v>
      </c>
      <c r="U1291" s="20" t="s">
        <v>598</v>
      </c>
      <c r="V1291" s="22">
        <v>37</v>
      </c>
      <c r="W1291" s="22">
        <v>6</v>
      </c>
      <c r="X1291" s="23"/>
    </row>
    <row r="1292" spans="1:24" s="1" customFormat="1" ht="36.950000000000003" customHeight="1" x14ac:dyDescent="0.3">
      <c r="A1292" s="24" t="s">
        <v>23</v>
      </c>
      <c r="B1292" s="24" t="s">
        <v>1688</v>
      </c>
      <c r="C1292" s="12" t="s">
        <v>1689</v>
      </c>
      <c r="D1292" s="55"/>
      <c r="E1292" s="39" t="str">
        <f>HYPERLINK("https://www.google.ru/search?q=3028003-001&amp;newwindow=1&amp;tbm=isch","Еще фото")</f>
        <v>Еще фото</v>
      </c>
      <c r="F1292" s="13"/>
      <c r="G1292" s="24" t="s">
        <v>808</v>
      </c>
      <c r="H1292" s="24" t="s">
        <v>593</v>
      </c>
      <c r="I1292" s="24" t="s">
        <v>809</v>
      </c>
      <c r="J1292" s="14" t="s">
        <v>29</v>
      </c>
      <c r="K1292" s="15" t="s">
        <v>64</v>
      </c>
      <c r="L1292" s="58"/>
      <c r="M1292" s="14"/>
      <c r="N1292" s="14" t="s">
        <v>33</v>
      </c>
      <c r="O1292" s="14"/>
      <c r="P1292" s="15" t="s">
        <v>597</v>
      </c>
      <c r="Q1292" s="16">
        <v>15499</v>
      </c>
      <c r="R1292" s="17">
        <v>40</v>
      </c>
      <c r="S1292" s="18">
        <v>10694.31</v>
      </c>
      <c r="T1292" s="19" t="s">
        <v>36</v>
      </c>
      <c r="U1292" s="20" t="s">
        <v>599</v>
      </c>
      <c r="V1292" s="28">
        <v>37.5</v>
      </c>
      <c r="W1292" s="22">
        <v>7</v>
      </c>
      <c r="X1292" s="23"/>
    </row>
    <row r="1293" spans="1:24" s="1" customFormat="1" ht="51.95" customHeight="1" x14ac:dyDescent="0.3">
      <c r="A1293" s="11" t="s">
        <v>23</v>
      </c>
      <c r="B1293" s="11" t="s">
        <v>1688</v>
      </c>
      <c r="C1293" s="12" t="s">
        <v>1691</v>
      </c>
      <c r="D1293" s="59"/>
      <c r="E1293" s="39" t="str">
        <f>HYPERLINK("https://www.google.ru/search?q=3028003-014&amp;newwindow=1&amp;tbm=isch","Еще фото")</f>
        <v>Еще фото</v>
      </c>
      <c r="F1293" s="13"/>
      <c r="G1293" s="11" t="s">
        <v>808</v>
      </c>
      <c r="H1293" s="11" t="s">
        <v>593</v>
      </c>
      <c r="I1293" s="14" t="s">
        <v>809</v>
      </c>
      <c r="J1293" s="14" t="s">
        <v>29</v>
      </c>
      <c r="K1293" s="15" t="s">
        <v>64</v>
      </c>
      <c r="L1293" s="56" t="s">
        <v>1690</v>
      </c>
      <c r="M1293" s="14"/>
      <c r="N1293" s="14" t="s">
        <v>84</v>
      </c>
      <c r="O1293" s="14"/>
      <c r="P1293" s="15" t="s">
        <v>1685</v>
      </c>
      <c r="Q1293" s="16">
        <v>15499</v>
      </c>
      <c r="R1293" s="17">
        <v>40</v>
      </c>
      <c r="S1293" s="18">
        <v>10694.31</v>
      </c>
      <c r="T1293" s="19" t="s">
        <v>36</v>
      </c>
      <c r="U1293" s="20" t="s">
        <v>820</v>
      </c>
      <c r="V1293" s="22">
        <v>36</v>
      </c>
      <c r="W1293" s="22">
        <v>1</v>
      </c>
      <c r="X1293" s="23"/>
    </row>
    <row r="1294" spans="1:24" s="1" customFormat="1" ht="60.95" customHeight="1" x14ac:dyDescent="0.3">
      <c r="A1294" s="24" t="s">
        <v>23</v>
      </c>
      <c r="B1294" s="24" t="s">
        <v>1688</v>
      </c>
      <c r="C1294" s="12" t="s">
        <v>1691</v>
      </c>
      <c r="D1294" s="60"/>
      <c r="E1294" s="39" t="str">
        <f>HYPERLINK("https://www.google.ru/search?q=3028003-014&amp;newwindow=1&amp;tbm=isch","Еще фото")</f>
        <v>Еще фото</v>
      </c>
      <c r="F1294" s="13"/>
      <c r="G1294" s="24" t="s">
        <v>808</v>
      </c>
      <c r="H1294" s="24" t="s">
        <v>593</v>
      </c>
      <c r="I1294" s="24" t="s">
        <v>809</v>
      </c>
      <c r="J1294" s="14" t="s">
        <v>29</v>
      </c>
      <c r="K1294" s="15" t="s">
        <v>64</v>
      </c>
      <c r="L1294" s="58"/>
      <c r="M1294" s="14"/>
      <c r="N1294" s="14" t="s">
        <v>84</v>
      </c>
      <c r="O1294" s="14"/>
      <c r="P1294" s="15" t="s">
        <v>1685</v>
      </c>
      <c r="Q1294" s="16">
        <v>15499</v>
      </c>
      <c r="R1294" s="17">
        <v>40</v>
      </c>
      <c r="S1294" s="18">
        <v>10694.31</v>
      </c>
      <c r="T1294" s="19" t="s">
        <v>36</v>
      </c>
      <c r="U1294" s="20" t="s">
        <v>598</v>
      </c>
      <c r="V1294" s="22">
        <v>37</v>
      </c>
      <c r="W1294" s="22">
        <v>1</v>
      </c>
      <c r="X1294" s="23"/>
    </row>
    <row r="1295" spans="1:24" s="1" customFormat="1" ht="21" customHeight="1" x14ac:dyDescent="0.3">
      <c r="A1295" s="11" t="s">
        <v>23</v>
      </c>
      <c r="B1295" s="11" t="s">
        <v>1688</v>
      </c>
      <c r="C1295" s="26" t="s">
        <v>1692</v>
      </c>
      <c r="D1295" s="53"/>
      <c r="E1295" s="39" t="str">
        <f>HYPERLINK("https://www.google.ru/search?q=3028003-100&amp;newwindow=1&amp;tbm=isch","Еще фото")</f>
        <v>Еще фото</v>
      </c>
      <c r="F1295" s="13"/>
      <c r="G1295" s="11" t="s">
        <v>808</v>
      </c>
      <c r="H1295" s="11" t="s">
        <v>593</v>
      </c>
      <c r="I1295" s="14" t="s">
        <v>809</v>
      </c>
      <c r="J1295" s="14" t="s">
        <v>29</v>
      </c>
      <c r="K1295" s="15" t="s">
        <v>64</v>
      </c>
      <c r="L1295" s="56" t="s">
        <v>1693</v>
      </c>
      <c r="M1295" s="14" t="s">
        <v>824</v>
      </c>
      <c r="N1295" s="14" t="s">
        <v>74</v>
      </c>
      <c r="O1295" s="14"/>
      <c r="P1295" s="15" t="s">
        <v>870</v>
      </c>
      <c r="Q1295" s="16">
        <v>15499</v>
      </c>
      <c r="R1295" s="17">
        <v>40</v>
      </c>
      <c r="S1295" s="18">
        <v>10694.31</v>
      </c>
      <c r="T1295" s="19" t="s">
        <v>36</v>
      </c>
      <c r="U1295" s="20" t="s">
        <v>813</v>
      </c>
      <c r="V1295" s="28">
        <v>35.5</v>
      </c>
      <c r="W1295" s="22">
        <v>1</v>
      </c>
      <c r="X1295" s="23"/>
    </row>
    <row r="1296" spans="1:24" s="1" customFormat="1" ht="21" customHeight="1" x14ac:dyDescent="0.3">
      <c r="A1296" s="24" t="s">
        <v>23</v>
      </c>
      <c r="B1296" s="24" t="s">
        <v>1688</v>
      </c>
      <c r="C1296" s="27" t="s">
        <v>1692</v>
      </c>
      <c r="D1296" s="54"/>
      <c r="E1296" s="39" t="str">
        <f>HYPERLINK("https://www.google.ru/search?q=3028003-100&amp;newwindow=1&amp;tbm=isch","Еще фото")</f>
        <v>Еще фото</v>
      </c>
      <c r="F1296" s="13"/>
      <c r="G1296" s="24" t="s">
        <v>808</v>
      </c>
      <c r="H1296" s="24" t="s">
        <v>593</v>
      </c>
      <c r="I1296" s="24" t="s">
        <v>809</v>
      </c>
      <c r="J1296" s="14" t="s">
        <v>29</v>
      </c>
      <c r="K1296" s="15" t="s">
        <v>64</v>
      </c>
      <c r="L1296" s="57"/>
      <c r="M1296" s="14" t="s">
        <v>824</v>
      </c>
      <c r="N1296" s="14" t="s">
        <v>74</v>
      </c>
      <c r="O1296" s="14"/>
      <c r="P1296" s="15" t="s">
        <v>870</v>
      </c>
      <c r="Q1296" s="16">
        <v>15499</v>
      </c>
      <c r="R1296" s="17">
        <v>40</v>
      </c>
      <c r="S1296" s="18">
        <v>10694.31</v>
      </c>
      <c r="T1296" s="19" t="s">
        <v>36</v>
      </c>
      <c r="U1296" s="20" t="s">
        <v>820</v>
      </c>
      <c r="V1296" s="22">
        <v>36</v>
      </c>
      <c r="W1296" s="22">
        <v>1</v>
      </c>
      <c r="X1296" s="23"/>
    </row>
    <row r="1297" spans="1:24" s="1" customFormat="1" ht="21" customHeight="1" x14ac:dyDescent="0.3">
      <c r="A1297" s="24" t="s">
        <v>23</v>
      </c>
      <c r="B1297" s="24" t="s">
        <v>1688</v>
      </c>
      <c r="C1297" s="27" t="s">
        <v>1692</v>
      </c>
      <c r="D1297" s="54"/>
      <c r="E1297" s="39" t="str">
        <f>HYPERLINK("https://www.google.ru/search?q=3028003-100&amp;newwindow=1&amp;tbm=isch","Еще фото")</f>
        <v>Еще фото</v>
      </c>
      <c r="F1297" s="13"/>
      <c r="G1297" s="24" t="s">
        <v>808</v>
      </c>
      <c r="H1297" s="24" t="s">
        <v>593</v>
      </c>
      <c r="I1297" s="24" t="s">
        <v>809</v>
      </c>
      <c r="J1297" s="14" t="s">
        <v>29</v>
      </c>
      <c r="K1297" s="15" t="s">
        <v>64</v>
      </c>
      <c r="L1297" s="57"/>
      <c r="M1297" s="14" t="s">
        <v>824</v>
      </c>
      <c r="N1297" s="14" t="s">
        <v>74</v>
      </c>
      <c r="O1297" s="14"/>
      <c r="P1297" s="15" t="s">
        <v>870</v>
      </c>
      <c r="Q1297" s="16">
        <v>15499</v>
      </c>
      <c r="R1297" s="17">
        <v>40</v>
      </c>
      <c r="S1297" s="18">
        <v>10694.31</v>
      </c>
      <c r="T1297" s="19" t="s">
        <v>36</v>
      </c>
      <c r="U1297" s="20" t="s">
        <v>814</v>
      </c>
      <c r="V1297" s="28">
        <v>36.5</v>
      </c>
      <c r="W1297" s="22">
        <v>2</v>
      </c>
      <c r="X1297" s="23"/>
    </row>
    <row r="1298" spans="1:24" s="1" customFormat="1" ht="21" customHeight="1" x14ac:dyDescent="0.3">
      <c r="A1298" s="24" t="s">
        <v>23</v>
      </c>
      <c r="B1298" s="24" t="s">
        <v>1688</v>
      </c>
      <c r="C1298" s="27" t="s">
        <v>1692</v>
      </c>
      <c r="D1298" s="54"/>
      <c r="E1298" s="39" t="str">
        <f>HYPERLINK("https://www.google.ru/search?q=3028003-100&amp;newwindow=1&amp;tbm=isch","Еще фото")</f>
        <v>Еще фото</v>
      </c>
      <c r="F1298" s="13"/>
      <c r="G1298" s="24" t="s">
        <v>808</v>
      </c>
      <c r="H1298" s="24" t="s">
        <v>593</v>
      </c>
      <c r="I1298" s="24" t="s">
        <v>809</v>
      </c>
      <c r="J1298" s="14" t="s">
        <v>29</v>
      </c>
      <c r="K1298" s="15" t="s">
        <v>64</v>
      </c>
      <c r="L1298" s="57"/>
      <c r="M1298" s="14" t="s">
        <v>824</v>
      </c>
      <c r="N1298" s="14" t="s">
        <v>74</v>
      </c>
      <c r="O1298" s="14"/>
      <c r="P1298" s="15" t="s">
        <v>870</v>
      </c>
      <c r="Q1298" s="16">
        <v>15499</v>
      </c>
      <c r="R1298" s="17">
        <v>40</v>
      </c>
      <c r="S1298" s="18">
        <v>10694.31</v>
      </c>
      <c r="T1298" s="19" t="s">
        <v>36</v>
      </c>
      <c r="U1298" s="20" t="s">
        <v>598</v>
      </c>
      <c r="V1298" s="22">
        <v>37</v>
      </c>
      <c r="W1298" s="22">
        <v>3</v>
      </c>
      <c r="X1298" s="23"/>
    </row>
    <row r="1299" spans="1:24" s="1" customFormat="1" ht="32.1" customHeight="1" x14ac:dyDescent="0.3">
      <c r="A1299" s="24" t="s">
        <v>23</v>
      </c>
      <c r="B1299" s="24" t="s">
        <v>1688</v>
      </c>
      <c r="C1299" s="27" t="s">
        <v>1692</v>
      </c>
      <c r="D1299" s="55"/>
      <c r="E1299" s="39" t="str">
        <f>HYPERLINK("https://www.google.ru/search?q=3028003-100&amp;newwindow=1&amp;tbm=isch","Еще фото")</f>
        <v>Еще фото</v>
      </c>
      <c r="F1299" s="13"/>
      <c r="G1299" s="24" t="s">
        <v>808</v>
      </c>
      <c r="H1299" s="24" t="s">
        <v>593</v>
      </c>
      <c r="I1299" s="24" t="s">
        <v>809</v>
      </c>
      <c r="J1299" s="14" t="s">
        <v>29</v>
      </c>
      <c r="K1299" s="15" t="s">
        <v>64</v>
      </c>
      <c r="L1299" s="58"/>
      <c r="M1299" s="14" t="s">
        <v>824</v>
      </c>
      <c r="N1299" s="14" t="s">
        <v>74</v>
      </c>
      <c r="O1299" s="14"/>
      <c r="P1299" s="15" t="s">
        <v>870</v>
      </c>
      <c r="Q1299" s="16">
        <v>15499</v>
      </c>
      <c r="R1299" s="17">
        <v>40</v>
      </c>
      <c r="S1299" s="18">
        <v>10694.31</v>
      </c>
      <c r="T1299" s="19" t="s">
        <v>36</v>
      </c>
      <c r="U1299" s="20" t="s">
        <v>599</v>
      </c>
      <c r="V1299" s="28">
        <v>37.5</v>
      </c>
      <c r="W1299" s="22">
        <v>1</v>
      </c>
      <c r="X1299" s="23"/>
    </row>
    <row r="1300" spans="1:24" s="1" customFormat="1" ht="108" customHeight="1" x14ac:dyDescent="0.3">
      <c r="A1300" s="11" t="s">
        <v>23</v>
      </c>
      <c r="B1300" s="11" t="s">
        <v>1688</v>
      </c>
      <c r="C1300" s="12" t="s">
        <v>1694</v>
      </c>
      <c r="D1300" s="25"/>
      <c r="E1300" s="39" t="str">
        <f>HYPERLINK("https://www.google.ru/search?q=3028003-494&amp;newwindow=1&amp;tbm=isch","Еще фото")</f>
        <v>Еще фото</v>
      </c>
      <c r="F1300" s="13"/>
      <c r="G1300" s="11" t="s">
        <v>808</v>
      </c>
      <c r="H1300" s="11" t="s">
        <v>593</v>
      </c>
      <c r="I1300" s="14" t="s">
        <v>809</v>
      </c>
      <c r="J1300" s="14" t="s">
        <v>29</v>
      </c>
      <c r="K1300" s="15" t="s">
        <v>64</v>
      </c>
      <c r="L1300" s="14" t="s">
        <v>1690</v>
      </c>
      <c r="M1300" s="14"/>
      <c r="N1300" s="14" t="s">
        <v>50</v>
      </c>
      <c r="O1300" s="14"/>
      <c r="P1300" s="15" t="s">
        <v>1685</v>
      </c>
      <c r="Q1300" s="16">
        <v>15499</v>
      </c>
      <c r="R1300" s="17">
        <v>40</v>
      </c>
      <c r="S1300" s="18">
        <v>10694.31</v>
      </c>
      <c r="T1300" s="19" t="s">
        <v>36</v>
      </c>
      <c r="U1300" s="20" t="s">
        <v>814</v>
      </c>
      <c r="V1300" s="28">
        <v>36.5</v>
      </c>
      <c r="W1300" s="22">
        <v>1</v>
      </c>
      <c r="X1300" s="23"/>
    </row>
    <row r="1301" spans="1:24" s="1" customFormat="1" ht="17.100000000000001" customHeight="1" x14ac:dyDescent="0.3">
      <c r="A1301" s="11" t="s">
        <v>23</v>
      </c>
      <c r="B1301" s="11" t="s">
        <v>1353</v>
      </c>
      <c r="C1301" s="12" t="s">
        <v>1695</v>
      </c>
      <c r="D1301" s="53"/>
      <c r="E1301" s="39" t="str">
        <f t="shared" ref="E1301:E1306" si="27">HYPERLINK("https://www.google.ru/search?q=3028076-002&amp;newwindow=1&amp;tbm=isch","Еще фото")</f>
        <v>Еще фото</v>
      </c>
      <c r="F1301" s="13" t="s">
        <v>310</v>
      </c>
      <c r="G1301" s="11" t="s">
        <v>808</v>
      </c>
      <c r="H1301" s="11" t="s">
        <v>593</v>
      </c>
      <c r="I1301" s="14" t="s">
        <v>809</v>
      </c>
      <c r="J1301" s="14" t="s">
        <v>29</v>
      </c>
      <c r="K1301" s="15" t="s">
        <v>30</v>
      </c>
      <c r="L1301" s="56" t="s">
        <v>1696</v>
      </c>
      <c r="M1301" s="14"/>
      <c r="N1301" s="14" t="s">
        <v>33</v>
      </c>
      <c r="O1301" s="14"/>
      <c r="P1301" s="15" t="s">
        <v>1697</v>
      </c>
      <c r="Q1301" s="16">
        <v>13199</v>
      </c>
      <c r="R1301" s="17">
        <v>40</v>
      </c>
      <c r="S1301" s="18">
        <v>9107.31</v>
      </c>
      <c r="T1301" s="19" t="s">
        <v>36</v>
      </c>
      <c r="U1301" s="20" t="s">
        <v>601</v>
      </c>
      <c r="V1301" s="22">
        <v>41</v>
      </c>
      <c r="W1301" s="22">
        <v>1</v>
      </c>
      <c r="X1301" s="23"/>
    </row>
    <row r="1302" spans="1:24" s="1" customFormat="1" ht="17.100000000000001" customHeight="1" x14ac:dyDescent="0.3">
      <c r="A1302" s="24" t="s">
        <v>23</v>
      </c>
      <c r="B1302" s="24" t="s">
        <v>1353</v>
      </c>
      <c r="C1302" s="12" t="s">
        <v>1695</v>
      </c>
      <c r="D1302" s="54"/>
      <c r="E1302" s="39" t="str">
        <f t="shared" si="27"/>
        <v>Еще фото</v>
      </c>
      <c r="F1302" s="13" t="s">
        <v>310</v>
      </c>
      <c r="G1302" s="24" t="s">
        <v>808</v>
      </c>
      <c r="H1302" s="24" t="s">
        <v>593</v>
      </c>
      <c r="I1302" s="24" t="s">
        <v>809</v>
      </c>
      <c r="J1302" s="14" t="s">
        <v>29</v>
      </c>
      <c r="K1302" s="15" t="s">
        <v>30</v>
      </c>
      <c r="L1302" s="57"/>
      <c r="M1302" s="14"/>
      <c r="N1302" s="14" t="s">
        <v>33</v>
      </c>
      <c r="O1302" s="14"/>
      <c r="P1302" s="15" t="s">
        <v>1697</v>
      </c>
      <c r="Q1302" s="16">
        <v>13199</v>
      </c>
      <c r="R1302" s="17">
        <v>40</v>
      </c>
      <c r="S1302" s="18">
        <v>9107.31</v>
      </c>
      <c r="T1302" s="19" t="s">
        <v>36</v>
      </c>
      <c r="U1302" s="20" t="s">
        <v>602</v>
      </c>
      <c r="V1302" s="28">
        <v>41.5</v>
      </c>
      <c r="W1302" s="22">
        <v>9</v>
      </c>
      <c r="X1302" s="23"/>
    </row>
    <row r="1303" spans="1:24" s="1" customFormat="1" ht="17.100000000000001" customHeight="1" x14ac:dyDescent="0.3">
      <c r="A1303" s="24" t="s">
        <v>23</v>
      </c>
      <c r="B1303" s="24" t="s">
        <v>1353</v>
      </c>
      <c r="C1303" s="12" t="s">
        <v>1695</v>
      </c>
      <c r="D1303" s="54"/>
      <c r="E1303" s="39" t="str">
        <f t="shared" si="27"/>
        <v>Еще фото</v>
      </c>
      <c r="F1303" s="13" t="s">
        <v>310</v>
      </c>
      <c r="G1303" s="24" t="s">
        <v>808</v>
      </c>
      <c r="H1303" s="24" t="s">
        <v>593</v>
      </c>
      <c r="I1303" s="24" t="s">
        <v>809</v>
      </c>
      <c r="J1303" s="14" t="s">
        <v>29</v>
      </c>
      <c r="K1303" s="15" t="s">
        <v>30</v>
      </c>
      <c r="L1303" s="57"/>
      <c r="M1303" s="14"/>
      <c r="N1303" s="14" t="s">
        <v>33</v>
      </c>
      <c r="O1303" s="14"/>
      <c r="P1303" s="15" t="s">
        <v>1697</v>
      </c>
      <c r="Q1303" s="16">
        <v>13199</v>
      </c>
      <c r="R1303" s="17">
        <v>40</v>
      </c>
      <c r="S1303" s="18">
        <v>9107.31</v>
      </c>
      <c r="T1303" s="19" t="s">
        <v>36</v>
      </c>
      <c r="U1303" s="20" t="s">
        <v>603</v>
      </c>
      <c r="V1303" s="22">
        <v>42</v>
      </c>
      <c r="W1303" s="22">
        <v>2</v>
      </c>
      <c r="X1303" s="23"/>
    </row>
    <row r="1304" spans="1:24" s="1" customFormat="1" ht="17.100000000000001" customHeight="1" x14ac:dyDescent="0.3">
      <c r="A1304" s="24" t="s">
        <v>23</v>
      </c>
      <c r="B1304" s="24" t="s">
        <v>1353</v>
      </c>
      <c r="C1304" s="12" t="s">
        <v>1695</v>
      </c>
      <c r="D1304" s="54"/>
      <c r="E1304" s="39" t="str">
        <f t="shared" si="27"/>
        <v>Еще фото</v>
      </c>
      <c r="F1304" s="13" t="s">
        <v>310</v>
      </c>
      <c r="G1304" s="24" t="s">
        <v>808</v>
      </c>
      <c r="H1304" s="24" t="s">
        <v>593</v>
      </c>
      <c r="I1304" s="24" t="s">
        <v>809</v>
      </c>
      <c r="J1304" s="14" t="s">
        <v>29</v>
      </c>
      <c r="K1304" s="15" t="s">
        <v>30</v>
      </c>
      <c r="L1304" s="57"/>
      <c r="M1304" s="14"/>
      <c r="N1304" s="14" t="s">
        <v>33</v>
      </c>
      <c r="O1304" s="14"/>
      <c r="P1304" s="15" t="s">
        <v>1697</v>
      </c>
      <c r="Q1304" s="16">
        <v>13199</v>
      </c>
      <c r="R1304" s="17">
        <v>40</v>
      </c>
      <c r="S1304" s="18">
        <v>9107.31</v>
      </c>
      <c r="T1304" s="19" t="s">
        <v>36</v>
      </c>
      <c r="U1304" s="20" t="s">
        <v>604</v>
      </c>
      <c r="V1304" s="22">
        <v>43</v>
      </c>
      <c r="W1304" s="22">
        <v>6</v>
      </c>
      <c r="X1304" s="23"/>
    </row>
    <row r="1305" spans="1:24" s="1" customFormat="1" ht="17.100000000000001" customHeight="1" x14ac:dyDescent="0.3">
      <c r="A1305" s="24" t="s">
        <v>23</v>
      </c>
      <c r="B1305" s="24" t="s">
        <v>1353</v>
      </c>
      <c r="C1305" s="12" t="s">
        <v>1695</v>
      </c>
      <c r="D1305" s="54"/>
      <c r="E1305" s="39" t="str">
        <f t="shared" si="27"/>
        <v>Еще фото</v>
      </c>
      <c r="F1305" s="13" t="s">
        <v>310</v>
      </c>
      <c r="G1305" s="24" t="s">
        <v>808</v>
      </c>
      <c r="H1305" s="24" t="s">
        <v>593</v>
      </c>
      <c r="I1305" s="24" t="s">
        <v>809</v>
      </c>
      <c r="J1305" s="14" t="s">
        <v>29</v>
      </c>
      <c r="K1305" s="15" t="s">
        <v>30</v>
      </c>
      <c r="L1305" s="57"/>
      <c r="M1305" s="14"/>
      <c r="N1305" s="14" t="s">
        <v>33</v>
      </c>
      <c r="O1305" s="14"/>
      <c r="P1305" s="15" t="s">
        <v>1697</v>
      </c>
      <c r="Q1305" s="16">
        <v>13199</v>
      </c>
      <c r="R1305" s="17">
        <v>40</v>
      </c>
      <c r="S1305" s="18">
        <v>9107.31</v>
      </c>
      <c r="T1305" s="19" t="s">
        <v>36</v>
      </c>
      <c r="U1305" s="20" t="s">
        <v>605</v>
      </c>
      <c r="V1305" s="28">
        <v>43.5</v>
      </c>
      <c r="W1305" s="22">
        <v>9</v>
      </c>
      <c r="X1305" s="23"/>
    </row>
    <row r="1306" spans="1:24" s="1" customFormat="1" ht="21.95" customHeight="1" x14ac:dyDescent="0.3">
      <c r="A1306" s="24" t="s">
        <v>23</v>
      </c>
      <c r="B1306" s="24" t="s">
        <v>1353</v>
      </c>
      <c r="C1306" s="12" t="s">
        <v>1695</v>
      </c>
      <c r="D1306" s="55"/>
      <c r="E1306" s="39" t="str">
        <f t="shared" si="27"/>
        <v>Еще фото</v>
      </c>
      <c r="F1306" s="13" t="s">
        <v>310</v>
      </c>
      <c r="G1306" s="24" t="s">
        <v>808</v>
      </c>
      <c r="H1306" s="24" t="s">
        <v>593</v>
      </c>
      <c r="I1306" s="24" t="s">
        <v>809</v>
      </c>
      <c r="J1306" s="14" t="s">
        <v>29</v>
      </c>
      <c r="K1306" s="15" t="s">
        <v>30</v>
      </c>
      <c r="L1306" s="58"/>
      <c r="M1306" s="14"/>
      <c r="N1306" s="14" t="s">
        <v>33</v>
      </c>
      <c r="O1306" s="14"/>
      <c r="P1306" s="15" t="s">
        <v>1697</v>
      </c>
      <c r="Q1306" s="16">
        <v>13199</v>
      </c>
      <c r="R1306" s="17">
        <v>40</v>
      </c>
      <c r="S1306" s="18">
        <v>9107.31</v>
      </c>
      <c r="T1306" s="19" t="s">
        <v>36</v>
      </c>
      <c r="U1306" s="20" t="s">
        <v>606</v>
      </c>
      <c r="V1306" s="22">
        <v>44</v>
      </c>
      <c r="W1306" s="22">
        <v>5</v>
      </c>
      <c r="X1306" s="23"/>
    </row>
    <row r="1307" spans="1:24" s="1" customFormat="1" ht="35.1" customHeight="1" x14ac:dyDescent="0.3">
      <c r="A1307" s="11" t="s">
        <v>23</v>
      </c>
      <c r="B1307" s="11" t="s">
        <v>1353</v>
      </c>
      <c r="C1307" s="12" t="s">
        <v>1698</v>
      </c>
      <c r="D1307" s="53"/>
      <c r="E1307" s="39" t="str">
        <f>HYPERLINK("https://www.google.ru/search?q=3028076-014&amp;newwindow=1&amp;tbm=isch","Еще фото")</f>
        <v>Еще фото</v>
      </c>
      <c r="F1307" s="13"/>
      <c r="G1307" s="11" t="s">
        <v>808</v>
      </c>
      <c r="H1307" s="11" t="s">
        <v>593</v>
      </c>
      <c r="I1307" s="14" t="s">
        <v>809</v>
      </c>
      <c r="J1307" s="14" t="s">
        <v>29</v>
      </c>
      <c r="K1307" s="15" t="s">
        <v>30</v>
      </c>
      <c r="L1307" s="56" t="s">
        <v>1355</v>
      </c>
      <c r="M1307" s="14"/>
      <c r="N1307" s="14" t="s">
        <v>84</v>
      </c>
      <c r="O1307" s="14"/>
      <c r="P1307" s="15" t="s">
        <v>597</v>
      </c>
      <c r="Q1307" s="16">
        <v>14199</v>
      </c>
      <c r="R1307" s="17">
        <v>40</v>
      </c>
      <c r="S1307" s="18">
        <v>9797.31</v>
      </c>
      <c r="T1307" s="19" t="s">
        <v>36</v>
      </c>
      <c r="U1307" s="20" t="s">
        <v>600</v>
      </c>
      <c r="V1307" s="22">
        <v>40</v>
      </c>
      <c r="W1307" s="22">
        <v>2</v>
      </c>
      <c r="X1307" s="23"/>
    </row>
    <row r="1308" spans="1:24" s="1" customFormat="1" ht="35.1" customHeight="1" x14ac:dyDescent="0.3">
      <c r="A1308" s="24" t="s">
        <v>23</v>
      </c>
      <c r="B1308" s="24" t="s">
        <v>1353</v>
      </c>
      <c r="C1308" s="12" t="s">
        <v>1698</v>
      </c>
      <c r="D1308" s="54"/>
      <c r="E1308" s="39" t="str">
        <f>HYPERLINK("https://www.google.ru/search?q=3028076-014&amp;newwindow=1&amp;tbm=isch","Еще фото")</f>
        <v>Еще фото</v>
      </c>
      <c r="F1308" s="13"/>
      <c r="G1308" s="24" t="s">
        <v>808</v>
      </c>
      <c r="H1308" s="24" t="s">
        <v>593</v>
      </c>
      <c r="I1308" s="24" t="s">
        <v>809</v>
      </c>
      <c r="J1308" s="14" t="s">
        <v>29</v>
      </c>
      <c r="K1308" s="15" t="s">
        <v>30</v>
      </c>
      <c r="L1308" s="57"/>
      <c r="M1308" s="14"/>
      <c r="N1308" s="14" t="s">
        <v>84</v>
      </c>
      <c r="O1308" s="14"/>
      <c r="P1308" s="15" t="s">
        <v>597</v>
      </c>
      <c r="Q1308" s="16">
        <v>14199</v>
      </c>
      <c r="R1308" s="17">
        <v>40</v>
      </c>
      <c r="S1308" s="18">
        <v>9797.31</v>
      </c>
      <c r="T1308" s="19" t="s">
        <v>36</v>
      </c>
      <c r="U1308" s="20" t="s">
        <v>601</v>
      </c>
      <c r="V1308" s="22">
        <v>41</v>
      </c>
      <c r="W1308" s="22">
        <v>1</v>
      </c>
      <c r="X1308" s="23"/>
    </row>
    <row r="1309" spans="1:24" s="1" customFormat="1" ht="36.950000000000003" customHeight="1" x14ac:dyDescent="0.3">
      <c r="A1309" s="24" t="s">
        <v>23</v>
      </c>
      <c r="B1309" s="24" t="s">
        <v>1353</v>
      </c>
      <c r="C1309" s="12" t="s">
        <v>1698</v>
      </c>
      <c r="D1309" s="55"/>
      <c r="E1309" s="39" t="str">
        <f>HYPERLINK("https://www.google.ru/search?q=3028076-014&amp;newwindow=1&amp;tbm=isch","Еще фото")</f>
        <v>Еще фото</v>
      </c>
      <c r="F1309" s="13"/>
      <c r="G1309" s="24" t="s">
        <v>808</v>
      </c>
      <c r="H1309" s="24" t="s">
        <v>593</v>
      </c>
      <c r="I1309" s="24" t="s">
        <v>809</v>
      </c>
      <c r="J1309" s="14" t="s">
        <v>29</v>
      </c>
      <c r="K1309" s="15" t="s">
        <v>30</v>
      </c>
      <c r="L1309" s="58"/>
      <c r="M1309" s="14"/>
      <c r="N1309" s="14" t="s">
        <v>84</v>
      </c>
      <c r="O1309" s="14"/>
      <c r="P1309" s="15" t="s">
        <v>597</v>
      </c>
      <c r="Q1309" s="16">
        <v>14199</v>
      </c>
      <c r="R1309" s="17">
        <v>40</v>
      </c>
      <c r="S1309" s="18">
        <v>9797.31</v>
      </c>
      <c r="T1309" s="19" t="s">
        <v>36</v>
      </c>
      <c r="U1309" s="20" t="s">
        <v>604</v>
      </c>
      <c r="V1309" s="22">
        <v>43</v>
      </c>
      <c r="W1309" s="22">
        <v>2</v>
      </c>
      <c r="X1309" s="23"/>
    </row>
    <row r="1310" spans="1:24" s="1" customFormat="1" ht="51.95" customHeight="1" x14ac:dyDescent="0.3">
      <c r="A1310" s="11" t="s">
        <v>23</v>
      </c>
      <c r="B1310" s="11" t="s">
        <v>1353</v>
      </c>
      <c r="C1310" s="12" t="s">
        <v>1699</v>
      </c>
      <c r="D1310" s="59"/>
      <c r="E1310" s="39" t="str">
        <f>HYPERLINK("https://www.google.ru/search?q=3028076-403&amp;newwindow=1&amp;tbm=isch","Еще фото")</f>
        <v>Еще фото</v>
      </c>
      <c r="F1310" s="13"/>
      <c r="G1310" s="11" t="s">
        <v>808</v>
      </c>
      <c r="H1310" s="11" t="s">
        <v>593</v>
      </c>
      <c r="I1310" s="14" t="s">
        <v>809</v>
      </c>
      <c r="J1310" s="14" t="s">
        <v>29</v>
      </c>
      <c r="K1310" s="15" t="s">
        <v>30</v>
      </c>
      <c r="L1310" s="56" t="s">
        <v>1355</v>
      </c>
      <c r="M1310" s="14"/>
      <c r="N1310" s="14" t="s">
        <v>91</v>
      </c>
      <c r="O1310" s="14"/>
      <c r="P1310" s="15" t="s">
        <v>597</v>
      </c>
      <c r="Q1310" s="16">
        <v>13699</v>
      </c>
      <c r="R1310" s="17">
        <v>40</v>
      </c>
      <c r="S1310" s="18">
        <v>9452.31</v>
      </c>
      <c r="T1310" s="19" t="s">
        <v>36</v>
      </c>
      <c r="U1310" s="20" t="s">
        <v>603</v>
      </c>
      <c r="V1310" s="22">
        <v>42</v>
      </c>
      <c r="W1310" s="22">
        <v>1</v>
      </c>
      <c r="X1310" s="23"/>
    </row>
    <row r="1311" spans="1:24" s="1" customFormat="1" ht="60.95" customHeight="1" x14ac:dyDescent="0.3">
      <c r="A1311" s="24" t="s">
        <v>23</v>
      </c>
      <c r="B1311" s="24" t="s">
        <v>1353</v>
      </c>
      <c r="C1311" s="12" t="s">
        <v>1699</v>
      </c>
      <c r="D1311" s="60"/>
      <c r="E1311" s="39" t="str">
        <f>HYPERLINK("https://www.google.ru/search?q=3028076-403&amp;newwindow=1&amp;tbm=isch","Еще фото")</f>
        <v>Еще фото</v>
      </c>
      <c r="F1311" s="13"/>
      <c r="G1311" s="24" t="s">
        <v>808</v>
      </c>
      <c r="H1311" s="24" t="s">
        <v>593</v>
      </c>
      <c r="I1311" s="24" t="s">
        <v>809</v>
      </c>
      <c r="J1311" s="14" t="s">
        <v>29</v>
      </c>
      <c r="K1311" s="15" t="s">
        <v>30</v>
      </c>
      <c r="L1311" s="58"/>
      <c r="M1311" s="14"/>
      <c r="N1311" s="14" t="s">
        <v>91</v>
      </c>
      <c r="O1311" s="14"/>
      <c r="P1311" s="15" t="s">
        <v>597</v>
      </c>
      <c r="Q1311" s="16">
        <v>13699</v>
      </c>
      <c r="R1311" s="17">
        <v>40</v>
      </c>
      <c r="S1311" s="18">
        <v>9452.31</v>
      </c>
      <c r="T1311" s="19" t="s">
        <v>36</v>
      </c>
      <c r="U1311" s="20" t="s">
        <v>605</v>
      </c>
      <c r="V1311" s="28">
        <v>43.5</v>
      </c>
      <c r="W1311" s="22">
        <v>1</v>
      </c>
      <c r="X1311" s="23"/>
    </row>
    <row r="1312" spans="1:24" s="1" customFormat="1" ht="14.1" customHeight="1" x14ac:dyDescent="0.3">
      <c r="A1312" s="11" t="s">
        <v>23</v>
      </c>
      <c r="B1312" s="11" t="s">
        <v>1353</v>
      </c>
      <c r="C1312" s="12" t="s">
        <v>1700</v>
      </c>
      <c r="D1312" s="53"/>
      <c r="E1312" s="39" t="str">
        <f t="shared" ref="E1312:E1318" si="28">HYPERLINK("https://www.google.ru/search?q=3028076-466&amp;newwindow=1&amp;tbm=isch","Еще фото")</f>
        <v>Еще фото</v>
      </c>
      <c r="F1312" s="13"/>
      <c r="G1312" s="11" t="s">
        <v>808</v>
      </c>
      <c r="H1312" s="11" t="s">
        <v>593</v>
      </c>
      <c r="I1312" s="14" t="s">
        <v>809</v>
      </c>
      <c r="J1312" s="14" t="s">
        <v>29</v>
      </c>
      <c r="K1312" s="15" t="s">
        <v>30</v>
      </c>
      <c r="L1312" s="56"/>
      <c r="M1312" s="14"/>
      <c r="N1312" s="14" t="s">
        <v>91</v>
      </c>
      <c r="O1312" s="14"/>
      <c r="P1312" s="15" t="s">
        <v>1701</v>
      </c>
      <c r="Q1312" s="16">
        <v>13199</v>
      </c>
      <c r="R1312" s="17">
        <v>40</v>
      </c>
      <c r="S1312" s="18">
        <v>9107.31</v>
      </c>
      <c r="T1312" s="19" t="s">
        <v>36</v>
      </c>
      <c r="U1312" s="20" t="s">
        <v>600</v>
      </c>
      <c r="V1312" s="22">
        <v>40</v>
      </c>
      <c r="W1312" s="22">
        <v>3</v>
      </c>
      <c r="X1312" s="23"/>
    </row>
    <row r="1313" spans="1:24" s="1" customFormat="1" ht="14.1" customHeight="1" x14ac:dyDescent="0.3">
      <c r="A1313" s="24" t="s">
        <v>23</v>
      </c>
      <c r="B1313" s="24" t="s">
        <v>1353</v>
      </c>
      <c r="C1313" s="12" t="s">
        <v>1700</v>
      </c>
      <c r="D1313" s="54"/>
      <c r="E1313" s="39" t="str">
        <f t="shared" si="28"/>
        <v>Еще фото</v>
      </c>
      <c r="F1313" s="13"/>
      <c r="G1313" s="24" t="s">
        <v>808</v>
      </c>
      <c r="H1313" s="24" t="s">
        <v>593</v>
      </c>
      <c r="I1313" s="24" t="s">
        <v>809</v>
      </c>
      <c r="J1313" s="14" t="s">
        <v>29</v>
      </c>
      <c r="K1313" s="15" t="s">
        <v>30</v>
      </c>
      <c r="L1313" s="57"/>
      <c r="M1313" s="14"/>
      <c r="N1313" s="14" t="s">
        <v>91</v>
      </c>
      <c r="O1313" s="14"/>
      <c r="P1313" s="15" t="s">
        <v>1701</v>
      </c>
      <c r="Q1313" s="16">
        <v>13199</v>
      </c>
      <c r="R1313" s="17">
        <v>40</v>
      </c>
      <c r="S1313" s="18">
        <v>9107.31</v>
      </c>
      <c r="T1313" s="19" t="s">
        <v>36</v>
      </c>
      <c r="U1313" s="20" t="s">
        <v>601</v>
      </c>
      <c r="V1313" s="22">
        <v>41</v>
      </c>
      <c r="W1313" s="22">
        <v>3</v>
      </c>
      <c r="X1313" s="23"/>
    </row>
    <row r="1314" spans="1:24" s="1" customFormat="1" ht="14.1" customHeight="1" x14ac:dyDescent="0.3">
      <c r="A1314" s="24" t="s">
        <v>23</v>
      </c>
      <c r="B1314" s="24" t="s">
        <v>1353</v>
      </c>
      <c r="C1314" s="12" t="s">
        <v>1700</v>
      </c>
      <c r="D1314" s="54"/>
      <c r="E1314" s="39" t="str">
        <f t="shared" si="28"/>
        <v>Еще фото</v>
      </c>
      <c r="F1314" s="13"/>
      <c r="G1314" s="24" t="s">
        <v>808</v>
      </c>
      <c r="H1314" s="24" t="s">
        <v>593</v>
      </c>
      <c r="I1314" s="24" t="s">
        <v>809</v>
      </c>
      <c r="J1314" s="14" t="s">
        <v>29</v>
      </c>
      <c r="K1314" s="15" t="s">
        <v>30</v>
      </c>
      <c r="L1314" s="57"/>
      <c r="M1314" s="14"/>
      <c r="N1314" s="14" t="s">
        <v>91</v>
      </c>
      <c r="O1314" s="14"/>
      <c r="P1314" s="15" t="s">
        <v>1701</v>
      </c>
      <c r="Q1314" s="16">
        <v>13199</v>
      </c>
      <c r="R1314" s="17">
        <v>40</v>
      </c>
      <c r="S1314" s="18">
        <v>9107.31</v>
      </c>
      <c r="T1314" s="19" t="s">
        <v>36</v>
      </c>
      <c r="U1314" s="20" t="s">
        <v>602</v>
      </c>
      <c r="V1314" s="28">
        <v>41.5</v>
      </c>
      <c r="W1314" s="22">
        <v>3</v>
      </c>
      <c r="X1314" s="23"/>
    </row>
    <row r="1315" spans="1:24" s="1" customFormat="1" ht="14.1" customHeight="1" x14ac:dyDescent="0.3">
      <c r="A1315" s="24" t="s">
        <v>23</v>
      </c>
      <c r="B1315" s="24" t="s">
        <v>1353</v>
      </c>
      <c r="C1315" s="12" t="s">
        <v>1700</v>
      </c>
      <c r="D1315" s="54"/>
      <c r="E1315" s="39" t="str">
        <f t="shared" si="28"/>
        <v>Еще фото</v>
      </c>
      <c r="F1315" s="13"/>
      <c r="G1315" s="24" t="s">
        <v>808</v>
      </c>
      <c r="H1315" s="24" t="s">
        <v>593</v>
      </c>
      <c r="I1315" s="24" t="s">
        <v>809</v>
      </c>
      <c r="J1315" s="14" t="s">
        <v>29</v>
      </c>
      <c r="K1315" s="15" t="s">
        <v>30</v>
      </c>
      <c r="L1315" s="57"/>
      <c r="M1315" s="14"/>
      <c r="N1315" s="14" t="s">
        <v>91</v>
      </c>
      <c r="O1315" s="14"/>
      <c r="P1315" s="15" t="s">
        <v>1701</v>
      </c>
      <c r="Q1315" s="16">
        <v>13199</v>
      </c>
      <c r="R1315" s="17">
        <v>40</v>
      </c>
      <c r="S1315" s="18">
        <v>9107.31</v>
      </c>
      <c r="T1315" s="19" t="s">
        <v>36</v>
      </c>
      <c r="U1315" s="20" t="s">
        <v>603</v>
      </c>
      <c r="V1315" s="22">
        <v>42</v>
      </c>
      <c r="W1315" s="22">
        <v>1</v>
      </c>
      <c r="X1315" s="23"/>
    </row>
    <row r="1316" spans="1:24" s="1" customFormat="1" ht="14.1" customHeight="1" x14ac:dyDescent="0.3">
      <c r="A1316" s="24" t="s">
        <v>23</v>
      </c>
      <c r="B1316" s="24" t="s">
        <v>1353</v>
      </c>
      <c r="C1316" s="12" t="s">
        <v>1700</v>
      </c>
      <c r="D1316" s="54"/>
      <c r="E1316" s="39" t="str">
        <f t="shared" si="28"/>
        <v>Еще фото</v>
      </c>
      <c r="F1316" s="13"/>
      <c r="G1316" s="24" t="s">
        <v>808</v>
      </c>
      <c r="H1316" s="24" t="s">
        <v>593</v>
      </c>
      <c r="I1316" s="24" t="s">
        <v>809</v>
      </c>
      <c r="J1316" s="14" t="s">
        <v>29</v>
      </c>
      <c r="K1316" s="15" t="s">
        <v>30</v>
      </c>
      <c r="L1316" s="57"/>
      <c r="M1316" s="14"/>
      <c r="N1316" s="14" t="s">
        <v>91</v>
      </c>
      <c r="O1316" s="14"/>
      <c r="P1316" s="15" t="s">
        <v>1701</v>
      </c>
      <c r="Q1316" s="16">
        <v>13199</v>
      </c>
      <c r="R1316" s="17">
        <v>40</v>
      </c>
      <c r="S1316" s="18">
        <v>9107.31</v>
      </c>
      <c r="T1316" s="19" t="s">
        <v>36</v>
      </c>
      <c r="U1316" s="20" t="s">
        <v>604</v>
      </c>
      <c r="V1316" s="22">
        <v>43</v>
      </c>
      <c r="W1316" s="22">
        <v>3</v>
      </c>
      <c r="X1316" s="23"/>
    </row>
    <row r="1317" spans="1:24" s="1" customFormat="1" ht="14.1" customHeight="1" x14ac:dyDescent="0.3">
      <c r="A1317" s="24" t="s">
        <v>23</v>
      </c>
      <c r="B1317" s="24" t="s">
        <v>1353</v>
      </c>
      <c r="C1317" s="12" t="s">
        <v>1700</v>
      </c>
      <c r="D1317" s="54"/>
      <c r="E1317" s="39" t="str">
        <f t="shared" si="28"/>
        <v>Еще фото</v>
      </c>
      <c r="F1317" s="13"/>
      <c r="G1317" s="24" t="s">
        <v>808</v>
      </c>
      <c r="H1317" s="24" t="s">
        <v>593</v>
      </c>
      <c r="I1317" s="24" t="s">
        <v>809</v>
      </c>
      <c r="J1317" s="14" t="s">
        <v>29</v>
      </c>
      <c r="K1317" s="15" t="s">
        <v>30</v>
      </c>
      <c r="L1317" s="57"/>
      <c r="M1317" s="14"/>
      <c r="N1317" s="14" t="s">
        <v>91</v>
      </c>
      <c r="O1317" s="14"/>
      <c r="P1317" s="15" t="s">
        <v>1701</v>
      </c>
      <c r="Q1317" s="16">
        <v>13199</v>
      </c>
      <c r="R1317" s="17">
        <v>40</v>
      </c>
      <c r="S1317" s="18">
        <v>9107.31</v>
      </c>
      <c r="T1317" s="19" t="s">
        <v>36</v>
      </c>
      <c r="U1317" s="20" t="s">
        <v>605</v>
      </c>
      <c r="V1317" s="28">
        <v>43.5</v>
      </c>
      <c r="W1317" s="22">
        <v>5</v>
      </c>
      <c r="X1317" s="23"/>
    </row>
    <row r="1318" spans="1:24" s="1" customFormat="1" ht="17.100000000000001" customHeight="1" x14ac:dyDescent="0.3">
      <c r="A1318" s="24" t="s">
        <v>23</v>
      </c>
      <c r="B1318" s="24" t="s">
        <v>1353</v>
      </c>
      <c r="C1318" s="12" t="s">
        <v>1700</v>
      </c>
      <c r="D1318" s="55"/>
      <c r="E1318" s="39" t="str">
        <f t="shared" si="28"/>
        <v>Еще фото</v>
      </c>
      <c r="F1318" s="13"/>
      <c r="G1318" s="24" t="s">
        <v>808</v>
      </c>
      <c r="H1318" s="24" t="s">
        <v>593</v>
      </c>
      <c r="I1318" s="24" t="s">
        <v>809</v>
      </c>
      <c r="J1318" s="14" t="s">
        <v>29</v>
      </c>
      <c r="K1318" s="15" t="s">
        <v>30</v>
      </c>
      <c r="L1318" s="58"/>
      <c r="M1318" s="14"/>
      <c r="N1318" s="14" t="s">
        <v>91</v>
      </c>
      <c r="O1318" s="14"/>
      <c r="P1318" s="15" t="s">
        <v>1701</v>
      </c>
      <c r="Q1318" s="16">
        <v>13199</v>
      </c>
      <c r="R1318" s="17">
        <v>40</v>
      </c>
      <c r="S1318" s="18">
        <v>9107.31</v>
      </c>
      <c r="T1318" s="19" t="s">
        <v>36</v>
      </c>
      <c r="U1318" s="20" t="s">
        <v>607</v>
      </c>
      <c r="V1318" s="28">
        <v>44.5</v>
      </c>
      <c r="W1318" s="22">
        <v>1</v>
      </c>
      <c r="X1318" s="23"/>
    </row>
    <row r="1319" spans="1:24" s="1" customFormat="1" ht="35.1" customHeight="1" x14ac:dyDescent="0.3">
      <c r="A1319" s="11" t="s">
        <v>23</v>
      </c>
      <c r="B1319" s="11" t="s">
        <v>1702</v>
      </c>
      <c r="C1319" s="12" t="s">
        <v>1703</v>
      </c>
      <c r="D1319" s="53"/>
      <c r="E1319" s="39" t="str">
        <f>HYPERLINK("https://www.google.ru/search?q=3028077-003&amp;newwindow=1&amp;tbm=isch","Еще фото")</f>
        <v>Еще фото</v>
      </c>
      <c r="F1319" s="13" t="s">
        <v>98</v>
      </c>
      <c r="G1319" s="11" t="s">
        <v>808</v>
      </c>
      <c r="H1319" s="11" t="s">
        <v>593</v>
      </c>
      <c r="I1319" s="14" t="s">
        <v>809</v>
      </c>
      <c r="J1319" s="14" t="s">
        <v>29</v>
      </c>
      <c r="K1319" s="15" t="s">
        <v>64</v>
      </c>
      <c r="L1319" s="56" t="s">
        <v>1704</v>
      </c>
      <c r="M1319" s="14"/>
      <c r="N1319" s="14" t="s">
        <v>33</v>
      </c>
      <c r="O1319" s="14"/>
      <c r="P1319" s="15" t="s">
        <v>1697</v>
      </c>
      <c r="Q1319" s="16">
        <v>12699</v>
      </c>
      <c r="R1319" s="17">
        <v>40</v>
      </c>
      <c r="S1319" s="18">
        <v>8762.31</v>
      </c>
      <c r="T1319" s="19" t="s">
        <v>36</v>
      </c>
      <c r="U1319" s="20" t="s">
        <v>813</v>
      </c>
      <c r="V1319" s="28">
        <v>35.5</v>
      </c>
      <c r="W1319" s="22">
        <v>1</v>
      </c>
      <c r="X1319" s="23"/>
    </row>
    <row r="1320" spans="1:24" s="1" customFormat="1" ht="35.1" customHeight="1" x14ac:dyDescent="0.3">
      <c r="A1320" s="24" t="s">
        <v>23</v>
      </c>
      <c r="B1320" s="24" t="s">
        <v>1702</v>
      </c>
      <c r="C1320" s="12" t="s">
        <v>1703</v>
      </c>
      <c r="D1320" s="54"/>
      <c r="E1320" s="39" t="str">
        <f>HYPERLINK("https://www.google.ru/search?q=3028077-003&amp;newwindow=1&amp;tbm=isch","Еще фото")</f>
        <v>Еще фото</v>
      </c>
      <c r="F1320" s="13" t="s">
        <v>98</v>
      </c>
      <c r="G1320" s="24" t="s">
        <v>808</v>
      </c>
      <c r="H1320" s="24" t="s">
        <v>593</v>
      </c>
      <c r="I1320" s="24" t="s">
        <v>809</v>
      </c>
      <c r="J1320" s="14" t="s">
        <v>29</v>
      </c>
      <c r="K1320" s="15" t="s">
        <v>64</v>
      </c>
      <c r="L1320" s="57"/>
      <c r="M1320" s="14"/>
      <c r="N1320" s="14" t="s">
        <v>33</v>
      </c>
      <c r="O1320" s="14"/>
      <c r="P1320" s="15" t="s">
        <v>1697</v>
      </c>
      <c r="Q1320" s="16">
        <v>12699</v>
      </c>
      <c r="R1320" s="17">
        <v>40</v>
      </c>
      <c r="S1320" s="18">
        <v>8762.31</v>
      </c>
      <c r="T1320" s="19" t="s">
        <v>36</v>
      </c>
      <c r="U1320" s="20" t="s">
        <v>820</v>
      </c>
      <c r="V1320" s="22">
        <v>36</v>
      </c>
      <c r="W1320" s="22">
        <v>3</v>
      </c>
      <c r="X1320" s="23"/>
    </row>
    <row r="1321" spans="1:24" s="1" customFormat="1" ht="36.950000000000003" customHeight="1" x14ac:dyDescent="0.3">
      <c r="A1321" s="24" t="s">
        <v>23</v>
      </c>
      <c r="B1321" s="24" t="s">
        <v>1702</v>
      </c>
      <c r="C1321" s="12" t="s">
        <v>1703</v>
      </c>
      <c r="D1321" s="55"/>
      <c r="E1321" s="39" t="str">
        <f>HYPERLINK("https://www.google.ru/search?q=3028077-003&amp;newwindow=1&amp;tbm=isch","Еще фото")</f>
        <v>Еще фото</v>
      </c>
      <c r="F1321" s="13" t="s">
        <v>98</v>
      </c>
      <c r="G1321" s="24" t="s">
        <v>808</v>
      </c>
      <c r="H1321" s="24" t="s">
        <v>593</v>
      </c>
      <c r="I1321" s="24" t="s">
        <v>809</v>
      </c>
      <c r="J1321" s="14" t="s">
        <v>29</v>
      </c>
      <c r="K1321" s="15" t="s">
        <v>64</v>
      </c>
      <c r="L1321" s="58"/>
      <c r="M1321" s="14"/>
      <c r="N1321" s="14" t="s">
        <v>33</v>
      </c>
      <c r="O1321" s="14"/>
      <c r="P1321" s="15" t="s">
        <v>1697</v>
      </c>
      <c r="Q1321" s="16">
        <v>12699</v>
      </c>
      <c r="R1321" s="17">
        <v>40</v>
      </c>
      <c r="S1321" s="18">
        <v>8762.31</v>
      </c>
      <c r="T1321" s="19" t="s">
        <v>36</v>
      </c>
      <c r="U1321" s="20" t="s">
        <v>598</v>
      </c>
      <c r="V1321" s="22">
        <v>37</v>
      </c>
      <c r="W1321" s="22">
        <v>5</v>
      </c>
      <c r="X1321" s="23"/>
    </row>
    <row r="1322" spans="1:24" s="1" customFormat="1" ht="108" customHeight="1" x14ac:dyDescent="0.3">
      <c r="A1322" s="11" t="s">
        <v>23</v>
      </c>
      <c r="B1322" s="11" t="s">
        <v>1093</v>
      </c>
      <c r="C1322" s="12" t="s">
        <v>1705</v>
      </c>
      <c r="D1322" s="25"/>
      <c r="E1322" s="39" t="str">
        <f>HYPERLINK("https://www.google.ru/search?q=3028168-100&amp;newwindow=1&amp;tbm=isch","Еще фото")</f>
        <v>Еще фото</v>
      </c>
      <c r="F1322" s="13"/>
      <c r="G1322" s="11" t="s">
        <v>808</v>
      </c>
      <c r="H1322" s="11" t="s">
        <v>593</v>
      </c>
      <c r="I1322" s="14" t="s">
        <v>809</v>
      </c>
      <c r="J1322" s="14" t="s">
        <v>29</v>
      </c>
      <c r="K1322" s="15" t="s">
        <v>30</v>
      </c>
      <c r="L1322" s="14" t="s">
        <v>1095</v>
      </c>
      <c r="M1322" s="14" t="s">
        <v>824</v>
      </c>
      <c r="N1322" s="14" t="s">
        <v>74</v>
      </c>
      <c r="O1322" s="14"/>
      <c r="P1322" s="15" t="s">
        <v>1096</v>
      </c>
      <c r="Q1322" s="16">
        <v>17999</v>
      </c>
      <c r="R1322" s="17">
        <v>40</v>
      </c>
      <c r="S1322" s="18">
        <v>12419.31</v>
      </c>
      <c r="T1322" s="19" t="s">
        <v>36</v>
      </c>
      <c r="U1322" s="20" t="s">
        <v>602</v>
      </c>
      <c r="V1322" s="28">
        <v>41.5</v>
      </c>
      <c r="W1322" s="22">
        <v>1</v>
      </c>
      <c r="X1322" s="23"/>
    </row>
    <row r="1323" spans="1:24" s="1" customFormat="1" ht="108" customHeight="1" x14ac:dyDescent="0.3">
      <c r="A1323" s="11" t="s">
        <v>23</v>
      </c>
      <c r="B1323" s="11" t="s">
        <v>1706</v>
      </c>
      <c r="C1323" s="12" t="s">
        <v>1707</v>
      </c>
      <c r="D1323" s="25"/>
      <c r="E1323" s="39" t="str">
        <f>HYPERLINK("https://www.google.ru/search?q=3028252-001&amp;newwindow=1&amp;tbm=isch","Еще фото")</f>
        <v>Еще фото</v>
      </c>
      <c r="F1323" s="13" t="s">
        <v>98</v>
      </c>
      <c r="G1323" s="11" t="s">
        <v>808</v>
      </c>
      <c r="H1323" s="11" t="s">
        <v>593</v>
      </c>
      <c r="I1323" s="14" t="s">
        <v>809</v>
      </c>
      <c r="J1323" s="14" t="s">
        <v>29</v>
      </c>
      <c r="K1323" s="15" t="s">
        <v>30</v>
      </c>
      <c r="L1323" s="14" t="s">
        <v>1708</v>
      </c>
      <c r="M1323" s="14"/>
      <c r="N1323" s="14" t="s">
        <v>33</v>
      </c>
      <c r="O1323" s="14"/>
      <c r="P1323" s="15" t="s">
        <v>1294</v>
      </c>
      <c r="Q1323" s="16">
        <v>6799</v>
      </c>
      <c r="R1323" s="17">
        <v>40</v>
      </c>
      <c r="S1323" s="18">
        <v>4691.3099999999995</v>
      </c>
      <c r="T1323" s="19" t="s">
        <v>36</v>
      </c>
      <c r="U1323" s="20" t="s">
        <v>599</v>
      </c>
      <c r="V1323" s="28">
        <v>39.5</v>
      </c>
      <c r="W1323" s="22">
        <v>1</v>
      </c>
      <c r="X1323" s="23"/>
    </row>
    <row r="1324" spans="1:24" s="1" customFormat="1" ht="51.95" customHeight="1" x14ac:dyDescent="0.3">
      <c r="A1324" s="11" t="s">
        <v>23</v>
      </c>
      <c r="B1324" s="11" t="s">
        <v>1706</v>
      </c>
      <c r="C1324" s="12" t="s">
        <v>1709</v>
      </c>
      <c r="D1324" s="59"/>
      <c r="E1324" s="39" t="str">
        <f>HYPERLINK("https://www.google.ru/search?q=3028252-410&amp;newwindow=1&amp;tbm=isch","Еще фото")</f>
        <v>Еще фото</v>
      </c>
      <c r="F1324" s="13" t="s">
        <v>98</v>
      </c>
      <c r="G1324" s="11" t="s">
        <v>808</v>
      </c>
      <c r="H1324" s="11" t="s">
        <v>593</v>
      </c>
      <c r="I1324" s="14" t="s">
        <v>809</v>
      </c>
      <c r="J1324" s="14" t="s">
        <v>29</v>
      </c>
      <c r="K1324" s="15" t="s">
        <v>30</v>
      </c>
      <c r="L1324" s="56" t="s">
        <v>1708</v>
      </c>
      <c r="M1324" s="14"/>
      <c r="N1324" s="14" t="s">
        <v>91</v>
      </c>
      <c r="O1324" s="14"/>
      <c r="P1324" s="15" t="s">
        <v>1294</v>
      </c>
      <c r="Q1324" s="16">
        <v>6799</v>
      </c>
      <c r="R1324" s="17">
        <v>40</v>
      </c>
      <c r="S1324" s="18">
        <v>4691.3099999999995</v>
      </c>
      <c r="T1324" s="19" t="s">
        <v>36</v>
      </c>
      <c r="U1324" s="20" t="s">
        <v>599</v>
      </c>
      <c r="V1324" s="28">
        <v>39.5</v>
      </c>
      <c r="W1324" s="22">
        <v>5</v>
      </c>
      <c r="X1324" s="23"/>
    </row>
    <row r="1325" spans="1:24" s="1" customFormat="1" ht="60.95" customHeight="1" x14ac:dyDescent="0.3">
      <c r="A1325" s="24" t="s">
        <v>23</v>
      </c>
      <c r="B1325" s="24" t="s">
        <v>1706</v>
      </c>
      <c r="C1325" s="12" t="s">
        <v>1709</v>
      </c>
      <c r="D1325" s="60"/>
      <c r="E1325" s="39" t="str">
        <f>HYPERLINK("https://www.google.ru/search?q=3028252-410&amp;newwindow=1&amp;tbm=isch","Еще фото")</f>
        <v>Еще фото</v>
      </c>
      <c r="F1325" s="13" t="s">
        <v>98</v>
      </c>
      <c r="G1325" s="24" t="s">
        <v>808</v>
      </c>
      <c r="H1325" s="24" t="s">
        <v>593</v>
      </c>
      <c r="I1325" s="24" t="s">
        <v>809</v>
      </c>
      <c r="J1325" s="14" t="s">
        <v>29</v>
      </c>
      <c r="K1325" s="15" t="s">
        <v>30</v>
      </c>
      <c r="L1325" s="58"/>
      <c r="M1325" s="14"/>
      <c r="N1325" s="14" t="s">
        <v>91</v>
      </c>
      <c r="O1325" s="14"/>
      <c r="P1325" s="15" t="s">
        <v>1294</v>
      </c>
      <c r="Q1325" s="16">
        <v>6799</v>
      </c>
      <c r="R1325" s="17">
        <v>40</v>
      </c>
      <c r="S1325" s="18">
        <v>4691.3099999999995</v>
      </c>
      <c r="T1325" s="19" t="s">
        <v>36</v>
      </c>
      <c r="U1325" s="20" t="s">
        <v>601</v>
      </c>
      <c r="V1325" s="22">
        <v>41</v>
      </c>
      <c r="W1325" s="22">
        <v>4</v>
      </c>
      <c r="X1325" s="23"/>
    </row>
    <row r="1326" spans="1:24" s="1" customFormat="1" ht="108" customHeight="1" x14ac:dyDescent="0.3">
      <c r="A1326" s="11" t="s">
        <v>23</v>
      </c>
      <c r="B1326" s="11" t="s">
        <v>1111</v>
      </c>
      <c r="C1326" s="12" t="s">
        <v>1710</v>
      </c>
      <c r="D1326" s="25"/>
      <c r="E1326" s="39" t="str">
        <f>HYPERLINK("https://www.google.ru/search?q=3028254-001&amp;newwindow=1&amp;tbm=isch","Еще фото")</f>
        <v>Еще фото</v>
      </c>
      <c r="F1326" s="13" t="s">
        <v>98</v>
      </c>
      <c r="G1326" s="11" t="s">
        <v>808</v>
      </c>
      <c r="H1326" s="11" t="s">
        <v>593</v>
      </c>
      <c r="I1326" s="14" t="s">
        <v>809</v>
      </c>
      <c r="J1326" s="14" t="s">
        <v>29</v>
      </c>
      <c r="K1326" s="15" t="s">
        <v>30</v>
      </c>
      <c r="L1326" s="14" t="s">
        <v>1113</v>
      </c>
      <c r="M1326" s="14"/>
      <c r="N1326" s="14" t="s">
        <v>33</v>
      </c>
      <c r="O1326" s="14"/>
      <c r="P1326" s="15" t="s">
        <v>597</v>
      </c>
      <c r="Q1326" s="16">
        <v>9199</v>
      </c>
      <c r="R1326" s="17">
        <v>40</v>
      </c>
      <c r="S1326" s="18">
        <v>6347.3099999999995</v>
      </c>
      <c r="T1326" s="19" t="s">
        <v>36</v>
      </c>
      <c r="U1326" s="20" t="s">
        <v>599</v>
      </c>
      <c r="V1326" s="28">
        <v>39.5</v>
      </c>
      <c r="W1326" s="22">
        <v>1</v>
      </c>
      <c r="X1326" s="23"/>
    </row>
    <row r="1327" spans="1:24" s="1" customFormat="1" ht="35.1" customHeight="1" x14ac:dyDescent="0.3">
      <c r="A1327" s="11" t="s">
        <v>23</v>
      </c>
      <c r="B1327" s="11" t="s">
        <v>1111</v>
      </c>
      <c r="C1327" s="12" t="s">
        <v>1711</v>
      </c>
      <c r="D1327" s="53"/>
      <c r="E1327" s="39" t="str">
        <f>HYPERLINK("https://www.google.ru/search?q=3028254-391&amp;newwindow=1&amp;tbm=isch","Еще фото")</f>
        <v>Еще фото</v>
      </c>
      <c r="F1327" s="13"/>
      <c r="G1327" s="11" t="s">
        <v>808</v>
      </c>
      <c r="H1327" s="11" t="s">
        <v>593</v>
      </c>
      <c r="I1327" s="14" t="s">
        <v>809</v>
      </c>
      <c r="J1327" s="14" t="s">
        <v>29</v>
      </c>
      <c r="K1327" s="15" t="s">
        <v>30</v>
      </c>
      <c r="L1327" s="56" t="s">
        <v>1113</v>
      </c>
      <c r="M1327" s="14"/>
      <c r="N1327" s="14" t="s">
        <v>125</v>
      </c>
      <c r="O1327" s="14"/>
      <c r="P1327" s="15" t="s">
        <v>1685</v>
      </c>
      <c r="Q1327" s="16">
        <v>8899</v>
      </c>
      <c r="R1327" s="17">
        <v>40</v>
      </c>
      <c r="S1327" s="18">
        <v>6140.3099999999995</v>
      </c>
      <c r="T1327" s="19" t="s">
        <v>36</v>
      </c>
      <c r="U1327" s="20" t="s">
        <v>599</v>
      </c>
      <c r="V1327" s="28">
        <v>39.5</v>
      </c>
      <c r="W1327" s="22">
        <v>2</v>
      </c>
      <c r="X1327" s="23"/>
    </row>
    <row r="1328" spans="1:24" s="1" customFormat="1" ht="35.1" customHeight="1" x14ac:dyDescent="0.3">
      <c r="A1328" s="24" t="s">
        <v>23</v>
      </c>
      <c r="B1328" s="24" t="s">
        <v>1111</v>
      </c>
      <c r="C1328" s="12" t="s">
        <v>1711</v>
      </c>
      <c r="D1328" s="54"/>
      <c r="E1328" s="39" t="str">
        <f>HYPERLINK("https://www.google.ru/search?q=3028254-391&amp;newwindow=1&amp;tbm=isch","Еще фото")</f>
        <v>Еще фото</v>
      </c>
      <c r="F1328" s="13"/>
      <c r="G1328" s="24" t="s">
        <v>808</v>
      </c>
      <c r="H1328" s="24" t="s">
        <v>593</v>
      </c>
      <c r="I1328" s="24" t="s">
        <v>809</v>
      </c>
      <c r="J1328" s="14" t="s">
        <v>29</v>
      </c>
      <c r="K1328" s="15" t="s">
        <v>30</v>
      </c>
      <c r="L1328" s="57"/>
      <c r="M1328" s="14"/>
      <c r="N1328" s="14" t="s">
        <v>125</v>
      </c>
      <c r="O1328" s="14"/>
      <c r="P1328" s="15" t="s">
        <v>1685</v>
      </c>
      <c r="Q1328" s="16">
        <v>8899</v>
      </c>
      <c r="R1328" s="17">
        <v>40</v>
      </c>
      <c r="S1328" s="18">
        <v>6140.3099999999995</v>
      </c>
      <c r="T1328" s="19" t="s">
        <v>36</v>
      </c>
      <c r="U1328" s="20" t="s">
        <v>600</v>
      </c>
      <c r="V1328" s="22">
        <v>40</v>
      </c>
      <c r="W1328" s="22">
        <v>2</v>
      </c>
      <c r="X1328" s="23"/>
    </row>
    <row r="1329" spans="1:24" s="1" customFormat="1" ht="36.950000000000003" customHeight="1" x14ac:dyDescent="0.3">
      <c r="A1329" s="24" t="s">
        <v>23</v>
      </c>
      <c r="B1329" s="24" t="s">
        <v>1111</v>
      </c>
      <c r="C1329" s="12" t="s">
        <v>1711</v>
      </c>
      <c r="D1329" s="55"/>
      <c r="E1329" s="39" t="str">
        <f>HYPERLINK("https://www.google.ru/search?q=3028254-391&amp;newwindow=1&amp;tbm=isch","Еще фото")</f>
        <v>Еще фото</v>
      </c>
      <c r="F1329" s="13"/>
      <c r="G1329" s="24" t="s">
        <v>808</v>
      </c>
      <c r="H1329" s="24" t="s">
        <v>593</v>
      </c>
      <c r="I1329" s="24" t="s">
        <v>809</v>
      </c>
      <c r="J1329" s="14" t="s">
        <v>29</v>
      </c>
      <c r="K1329" s="15" t="s">
        <v>30</v>
      </c>
      <c r="L1329" s="58"/>
      <c r="M1329" s="14"/>
      <c r="N1329" s="14" t="s">
        <v>125</v>
      </c>
      <c r="O1329" s="14"/>
      <c r="P1329" s="15" t="s">
        <v>1685</v>
      </c>
      <c r="Q1329" s="16">
        <v>8899</v>
      </c>
      <c r="R1329" s="17">
        <v>40</v>
      </c>
      <c r="S1329" s="18">
        <v>6140.3099999999995</v>
      </c>
      <c r="T1329" s="19" t="s">
        <v>36</v>
      </c>
      <c r="U1329" s="20" t="s">
        <v>602</v>
      </c>
      <c r="V1329" s="28">
        <v>41.5</v>
      </c>
      <c r="W1329" s="22">
        <v>2</v>
      </c>
      <c r="X1329" s="23"/>
    </row>
    <row r="1330" spans="1:24" s="1" customFormat="1" ht="51.95" customHeight="1" x14ac:dyDescent="0.3">
      <c r="A1330" s="11" t="s">
        <v>23</v>
      </c>
      <c r="B1330" s="11" t="s">
        <v>1220</v>
      </c>
      <c r="C1330" s="12" t="s">
        <v>1712</v>
      </c>
      <c r="D1330" s="59"/>
      <c r="E1330" s="39" t="str">
        <f>HYPERLINK("https://www.google.ru/search?q=3028256-001&amp;newwindow=1&amp;tbm=isch","Еще фото")</f>
        <v>Еще фото</v>
      </c>
      <c r="F1330" s="13" t="s">
        <v>98</v>
      </c>
      <c r="G1330" s="11" t="s">
        <v>808</v>
      </c>
      <c r="H1330" s="11" t="s">
        <v>593</v>
      </c>
      <c r="I1330" s="14" t="s">
        <v>809</v>
      </c>
      <c r="J1330" s="14" t="s">
        <v>29</v>
      </c>
      <c r="K1330" s="15" t="s">
        <v>30</v>
      </c>
      <c r="L1330" s="56" t="s">
        <v>1713</v>
      </c>
      <c r="M1330" s="14"/>
      <c r="N1330" s="14" t="s">
        <v>33</v>
      </c>
      <c r="O1330" s="14"/>
      <c r="P1330" s="15" t="s">
        <v>597</v>
      </c>
      <c r="Q1330" s="16">
        <v>11199</v>
      </c>
      <c r="R1330" s="17">
        <v>40</v>
      </c>
      <c r="S1330" s="18">
        <v>7727.3099999999986</v>
      </c>
      <c r="T1330" s="19" t="s">
        <v>36</v>
      </c>
      <c r="U1330" s="20" t="s">
        <v>600</v>
      </c>
      <c r="V1330" s="22">
        <v>40</v>
      </c>
      <c r="W1330" s="22">
        <v>1</v>
      </c>
      <c r="X1330" s="23"/>
    </row>
    <row r="1331" spans="1:24" s="1" customFormat="1" ht="60.95" customHeight="1" x14ac:dyDescent="0.3">
      <c r="A1331" s="24" t="s">
        <v>23</v>
      </c>
      <c r="B1331" s="24" t="s">
        <v>1220</v>
      </c>
      <c r="C1331" s="12" t="s">
        <v>1712</v>
      </c>
      <c r="D1331" s="60"/>
      <c r="E1331" s="39" t="str">
        <f>HYPERLINK("https://www.google.ru/search?q=3028256-001&amp;newwindow=1&amp;tbm=isch","Еще фото")</f>
        <v>Еще фото</v>
      </c>
      <c r="F1331" s="13" t="s">
        <v>98</v>
      </c>
      <c r="G1331" s="24" t="s">
        <v>808</v>
      </c>
      <c r="H1331" s="24" t="s">
        <v>593</v>
      </c>
      <c r="I1331" s="24" t="s">
        <v>809</v>
      </c>
      <c r="J1331" s="14" t="s">
        <v>29</v>
      </c>
      <c r="K1331" s="15" t="s">
        <v>30</v>
      </c>
      <c r="L1331" s="58"/>
      <c r="M1331" s="14"/>
      <c r="N1331" s="14" t="s">
        <v>33</v>
      </c>
      <c r="O1331" s="14"/>
      <c r="P1331" s="15" t="s">
        <v>597</v>
      </c>
      <c r="Q1331" s="16">
        <v>11199</v>
      </c>
      <c r="R1331" s="17">
        <v>40</v>
      </c>
      <c r="S1331" s="18">
        <v>7727.3099999999986</v>
      </c>
      <c r="T1331" s="19" t="s">
        <v>36</v>
      </c>
      <c r="U1331" s="20" t="s">
        <v>602</v>
      </c>
      <c r="V1331" s="28">
        <v>41.5</v>
      </c>
      <c r="W1331" s="22">
        <v>1</v>
      </c>
      <c r="X1331" s="23"/>
    </row>
    <row r="1332" spans="1:24" s="1" customFormat="1" ht="35.1" customHeight="1" x14ac:dyDescent="0.3">
      <c r="A1332" s="11" t="s">
        <v>23</v>
      </c>
      <c r="B1332" s="11" t="s">
        <v>1220</v>
      </c>
      <c r="C1332" s="12" t="s">
        <v>1714</v>
      </c>
      <c r="D1332" s="53"/>
      <c r="E1332" s="39" t="str">
        <f>HYPERLINK("https://www.google.ru/search?q=3028256-428&amp;newwindow=1&amp;tbm=isch","Еще фото")</f>
        <v>Еще фото</v>
      </c>
      <c r="F1332" s="13" t="s">
        <v>98</v>
      </c>
      <c r="G1332" s="11" t="s">
        <v>808</v>
      </c>
      <c r="H1332" s="11" t="s">
        <v>593</v>
      </c>
      <c r="I1332" s="14" t="s">
        <v>809</v>
      </c>
      <c r="J1332" s="14" t="s">
        <v>29</v>
      </c>
      <c r="K1332" s="15" t="s">
        <v>30</v>
      </c>
      <c r="L1332" s="56" t="s">
        <v>1713</v>
      </c>
      <c r="M1332" s="14"/>
      <c r="N1332" s="14" t="s">
        <v>91</v>
      </c>
      <c r="O1332" s="14"/>
      <c r="P1332" s="15" t="s">
        <v>597</v>
      </c>
      <c r="Q1332" s="16">
        <v>12199</v>
      </c>
      <c r="R1332" s="17">
        <v>40</v>
      </c>
      <c r="S1332" s="18">
        <v>8417.31</v>
      </c>
      <c r="T1332" s="19" t="s">
        <v>36</v>
      </c>
      <c r="U1332" s="20" t="s">
        <v>602</v>
      </c>
      <c r="V1332" s="28">
        <v>41.5</v>
      </c>
      <c r="W1332" s="22">
        <v>3</v>
      </c>
      <c r="X1332" s="23"/>
    </row>
    <row r="1333" spans="1:24" s="1" customFormat="1" ht="35.1" customHeight="1" x14ac:dyDescent="0.3">
      <c r="A1333" s="24" t="s">
        <v>23</v>
      </c>
      <c r="B1333" s="24" t="s">
        <v>1220</v>
      </c>
      <c r="C1333" s="12" t="s">
        <v>1714</v>
      </c>
      <c r="D1333" s="54"/>
      <c r="E1333" s="39" t="str">
        <f>HYPERLINK("https://www.google.ru/search?q=3028256-428&amp;newwindow=1&amp;tbm=isch","Еще фото")</f>
        <v>Еще фото</v>
      </c>
      <c r="F1333" s="13" t="s">
        <v>98</v>
      </c>
      <c r="G1333" s="24" t="s">
        <v>808</v>
      </c>
      <c r="H1333" s="24" t="s">
        <v>593</v>
      </c>
      <c r="I1333" s="24" t="s">
        <v>809</v>
      </c>
      <c r="J1333" s="14" t="s">
        <v>29</v>
      </c>
      <c r="K1333" s="15" t="s">
        <v>30</v>
      </c>
      <c r="L1333" s="57"/>
      <c r="M1333" s="14"/>
      <c r="N1333" s="14" t="s">
        <v>91</v>
      </c>
      <c r="O1333" s="14"/>
      <c r="P1333" s="15" t="s">
        <v>597</v>
      </c>
      <c r="Q1333" s="16">
        <v>12199</v>
      </c>
      <c r="R1333" s="17">
        <v>40</v>
      </c>
      <c r="S1333" s="18">
        <v>8417.31</v>
      </c>
      <c r="T1333" s="19" t="s">
        <v>36</v>
      </c>
      <c r="U1333" s="20" t="s">
        <v>604</v>
      </c>
      <c r="V1333" s="22">
        <v>43</v>
      </c>
      <c r="W1333" s="22">
        <v>1</v>
      </c>
      <c r="X1333" s="23"/>
    </row>
    <row r="1334" spans="1:24" s="1" customFormat="1" ht="36.950000000000003" customHeight="1" x14ac:dyDescent="0.3">
      <c r="A1334" s="24" t="s">
        <v>23</v>
      </c>
      <c r="B1334" s="24" t="s">
        <v>1220</v>
      </c>
      <c r="C1334" s="12" t="s">
        <v>1714</v>
      </c>
      <c r="D1334" s="55"/>
      <c r="E1334" s="39" t="str">
        <f>HYPERLINK("https://www.google.ru/search?q=3028256-428&amp;newwindow=1&amp;tbm=isch","Еще фото")</f>
        <v>Еще фото</v>
      </c>
      <c r="F1334" s="13" t="s">
        <v>98</v>
      </c>
      <c r="G1334" s="24" t="s">
        <v>808</v>
      </c>
      <c r="H1334" s="24" t="s">
        <v>593</v>
      </c>
      <c r="I1334" s="24" t="s">
        <v>809</v>
      </c>
      <c r="J1334" s="14" t="s">
        <v>29</v>
      </c>
      <c r="K1334" s="15" t="s">
        <v>30</v>
      </c>
      <c r="L1334" s="58"/>
      <c r="M1334" s="14"/>
      <c r="N1334" s="14" t="s">
        <v>91</v>
      </c>
      <c r="O1334" s="14"/>
      <c r="P1334" s="15" t="s">
        <v>597</v>
      </c>
      <c r="Q1334" s="16">
        <v>12199</v>
      </c>
      <c r="R1334" s="17">
        <v>40</v>
      </c>
      <c r="S1334" s="18">
        <v>8417.31</v>
      </c>
      <c r="T1334" s="19" t="s">
        <v>36</v>
      </c>
      <c r="U1334" s="20" t="s">
        <v>605</v>
      </c>
      <c r="V1334" s="28">
        <v>43.5</v>
      </c>
      <c r="W1334" s="22">
        <v>2</v>
      </c>
      <c r="X1334" s="23"/>
    </row>
    <row r="1335" spans="1:24" s="1" customFormat="1" ht="17.100000000000001" customHeight="1" x14ac:dyDescent="0.3">
      <c r="A1335" s="11" t="s">
        <v>23</v>
      </c>
      <c r="B1335" s="11" t="s">
        <v>1291</v>
      </c>
      <c r="C1335" s="12" t="s">
        <v>1715</v>
      </c>
      <c r="D1335" s="53"/>
      <c r="E1335" s="39" t="str">
        <f t="shared" ref="E1335:E1340" si="29">HYPERLINK("https://www.google.ru/search?q=3028259-001&amp;newwindow=1&amp;tbm=isch","Еще фото")</f>
        <v>Еще фото</v>
      </c>
      <c r="F1335" s="13" t="s">
        <v>98</v>
      </c>
      <c r="G1335" s="11" t="s">
        <v>808</v>
      </c>
      <c r="H1335" s="11" t="s">
        <v>593</v>
      </c>
      <c r="I1335" s="14" t="s">
        <v>809</v>
      </c>
      <c r="J1335" s="14" t="s">
        <v>29</v>
      </c>
      <c r="K1335" s="15" t="s">
        <v>64</v>
      </c>
      <c r="L1335" s="56" t="s">
        <v>1293</v>
      </c>
      <c r="M1335" s="14"/>
      <c r="N1335" s="14" t="s">
        <v>33</v>
      </c>
      <c r="O1335" s="14"/>
      <c r="P1335" s="15" t="s">
        <v>1294</v>
      </c>
      <c r="Q1335" s="16">
        <v>6599</v>
      </c>
      <c r="R1335" s="17">
        <v>40</v>
      </c>
      <c r="S1335" s="18">
        <v>4553.3099999999995</v>
      </c>
      <c r="T1335" s="19" t="s">
        <v>36</v>
      </c>
      <c r="U1335" s="20" t="s">
        <v>820</v>
      </c>
      <c r="V1335" s="22">
        <v>36</v>
      </c>
      <c r="W1335" s="22">
        <v>4</v>
      </c>
      <c r="X1335" s="23"/>
    </row>
    <row r="1336" spans="1:24" s="1" customFormat="1" ht="17.100000000000001" customHeight="1" x14ac:dyDescent="0.3">
      <c r="A1336" s="24" t="s">
        <v>23</v>
      </c>
      <c r="B1336" s="24" t="s">
        <v>1291</v>
      </c>
      <c r="C1336" s="12" t="s">
        <v>1715</v>
      </c>
      <c r="D1336" s="54"/>
      <c r="E1336" s="39" t="str">
        <f t="shared" si="29"/>
        <v>Еще фото</v>
      </c>
      <c r="F1336" s="13" t="s">
        <v>98</v>
      </c>
      <c r="G1336" s="24" t="s">
        <v>808</v>
      </c>
      <c r="H1336" s="24" t="s">
        <v>593</v>
      </c>
      <c r="I1336" s="24" t="s">
        <v>809</v>
      </c>
      <c r="J1336" s="14" t="s">
        <v>29</v>
      </c>
      <c r="K1336" s="15" t="s">
        <v>64</v>
      </c>
      <c r="L1336" s="57"/>
      <c r="M1336" s="14"/>
      <c r="N1336" s="14" t="s">
        <v>33</v>
      </c>
      <c r="O1336" s="14"/>
      <c r="P1336" s="15" t="s">
        <v>1294</v>
      </c>
      <c r="Q1336" s="16">
        <v>6599</v>
      </c>
      <c r="R1336" s="17">
        <v>40</v>
      </c>
      <c r="S1336" s="18">
        <v>4553.3099999999995</v>
      </c>
      <c r="T1336" s="19" t="s">
        <v>36</v>
      </c>
      <c r="U1336" s="20" t="s">
        <v>814</v>
      </c>
      <c r="V1336" s="28">
        <v>36.5</v>
      </c>
      <c r="W1336" s="22">
        <v>11</v>
      </c>
      <c r="X1336" s="23"/>
    </row>
    <row r="1337" spans="1:24" s="1" customFormat="1" ht="17.100000000000001" customHeight="1" x14ac:dyDescent="0.3">
      <c r="A1337" s="24" t="s">
        <v>23</v>
      </c>
      <c r="B1337" s="24" t="s">
        <v>1291</v>
      </c>
      <c r="C1337" s="12" t="s">
        <v>1715</v>
      </c>
      <c r="D1337" s="54"/>
      <c r="E1337" s="39" t="str">
        <f t="shared" si="29"/>
        <v>Еще фото</v>
      </c>
      <c r="F1337" s="13" t="s">
        <v>98</v>
      </c>
      <c r="G1337" s="24" t="s">
        <v>808</v>
      </c>
      <c r="H1337" s="24" t="s">
        <v>593</v>
      </c>
      <c r="I1337" s="24" t="s">
        <v>809</v>
      </c>
      <c r="J1337" s="14" t="s">
        <v>29</v>
      </c>
      <c r="K1337" s="15" t="s">
        <v>64</v>
      </c>
      <c r="L1337" s="57"/>
      <c r="M1337" s="14"/>
      <c r="N1337" s="14" t="s">
        <v>33</v>
      </c>
      <c r="O1337" s="14"/>
      <c r="P1337" s="15" t="s">
        <v>1294</v>
      </c>
      <c r="Q1337" s="16">
        <v>6599</v>
      </c>
      <c r="R1337" s="17">
        <v>40</v>
      </c>
      <c r="S1337" s="18">
        <v>4553.3099999999995</v>
      </c>
      <c r="T1337" s="19" t="s">
        <v>36</v>
      </c>
      <c r="U1337" s="20" t="s">
        <v>598</v>
      </c>
      <c r="V1337" s="22">
        <v>37</v>
      </c>
      <c r="W1337" s="22">
        <v>5</v>
      </c>
      <c r="X1337" s="23"/>
    </row>
    <row r="1338" spans="1:24" s="1" customFormat="1" ht="17.100000000000001" customHeight="1" x14ac:dyDescent="0.3">
      <c r="A1338" s="24" t="s">
        <v>23</v>
      </c>
      <c r="B1338" s="24" t="s">
        <v>1291</v>
      </c>
      <c r="C1338" s="12" t="s">
        <v>1715</v>
      </c>
      <c r="D1338" s="54"/>
      <c r="E1338" s="39" t="str">
        <f t="shared" si="29"/>
        <v>Еще фото</v>
      </c>
      <c r="F1338" s="13" t="s">
        <v>98</v>
      </c>
      <c r="G1338" s="24" t="s">
        <v>808</v>
      </c>
      <c r="H1338" s="24" t="s">
        <v>593</v>
      </c>
      <c r="I1338" s="24" t="s">
        <v>809</v>
      </c>
      <c r="J1338" s="14" t="s">
        <v>29</v>
      </c>
      <c r="K1338" s="15" t="s">
        <v>64</v>
      </c>
      <c r="L1338" s="57"/>
      <c r="M1338" s="14"/>
      <c r="N1338" s="14" t="s">
        <v>33</v>
      </c>
      <c r="O1338" s="14"/>
      <c r="P1338" s="15" t="s">
        <v>1294</v>
      </c>
      <c r="Q1338" s="16">
        <v>6599</v>
      </c>
      <c r="R1338" s="17">
        <v>40</v>
      </c>
      <c r="S1338" s="18">
        <v>4553.3099999999995</v>
      </c>
      <c r="T1338" s="19" t="s">
        <v>36</v>
      </c>
      <c r="U1338" s="20" t="s">
        <v>599</v>
      </c>
      <c r="V1338" s="28">
        <v>37.5</v>
      </c>
      <c r="W1338" s="22">
        <v>16</v>
      </c>
      <c r="X1338" s="23"/>
    </row>
    <row r="1339" spans="1:24" s="1" customFormat="1" ht="17.100000000000001" customHeight="1" x14ac:dyDescent="0.3">
      <c r="A1339" s="24" t="s">
        <v>23</v>
      </c>
      <c r="B1339" s="24" t="s">
        <v>1291</v>
      </c>
      <c r="C1339" s="12" t="s">
        <v>1715</v>
      </c>
      <c r="D1339" s="54"/>
      <c r="E1339" s="39" t="str">
        <f t="shared" si="29"/>
        <v>Еще фото</v>
      </c>
      <c r="F1339" s="13" t="s">
        <v>98</v>
      </c>
      <c r="G1339" s="24" t="s">
        <v>808</v>
      </c>
      <c r="H1339" s="24" t="s">
        <v>593</v>
      </c>
      <c r="I1339" s="24" t="s">
        <v>809</v>
      </c>
      <c r="J1339" s="14" t="s">
        <v>29</v>
      </c>
      <c r="K1339" s="15" t="s">
        <v>64</v>
      </c>
      <c r="L1339" s="57"/>
      <c r="M1339" s="14"/>
      <c r="N1339" s="14" t="s">
        <v>33</v>
      </c>
      <c r="O1339" s="14"/>
      <c r="P1339" s="15" t="s">
        <v>1294</v>
      </c>
      <c r="Q1339" s="16">
        <v>6599</v>
      </c>
      <c r="R1339" s="17">
        <v>40</v>
      </c>
      <c r="S1339" s="18">
        <v>4553.3099999999995</v>
      </c>
      <c r="T1339" s="19" t="s">
        <v>36</v>
      </c>
      <c r="U1339" s="20" t="s">
        <v>601</v>
      </c>
      <c r="V1339" s="22">
        <v>39</v>
      </c>
      <c r="W1339" s="22">
        <v>1</v>
      </c>
      <c r="X1339" s="23"/>
    </row>
    <row r="1340" spans="1:24" s="1" customFormat="1" ht="21.95" customHeight="1" x14ac:dyDescent="0.3">
      <c r="A1340" s="24" t="s">
        <v>23</v>
      </c>
      <c r="B1340" s="24" t="s">
        <v>1291</v>
      </c>
      <c r="C1340" s="12" t="s">
        <v>1715</v>
      </c>
      <c r="D1340" s="55"/>
      <c r="E1340" s="39" t="str">
        <f t="shared" si="29"/>
        <v>Еще фото</v>
      </c>
      <c r="F1340" s="13" t="s">
        <v>98</v>
      </c>
      <c r="G1340" s="24" t="s">
        <v>808</v>
      </c>
      <c r="H1340" s="24" t="s">
        <v>593</v>
      </c>
      <c r="I1340" s="24" t="s">
        <v>809</v>
      </c>
      <c r="J1340" s="14" t="s">
        <v>29</v>
      </c>
      <c r="K1340" s="15" t="s">
        <v>64</v>
      </c>
      <c r="L1340" s="58"/>
      <c r="M1340" s="14"/>
      <c r="N1340" s="14" t="s">
        <v>33</v>
      </c>
      <c r="O1340" s="14"/>
      <c r="P1340" s="15" t="s">
        <v>1294</v>
      </c>
      <c r="Q1340" s="16">
        <v>6599</v>
      </c>
      <c r="R1340" s="17">
        <v>40</v>
      </c>
      <c r="S1340" s="18">
        <v>4553.3099999999995</v>
      </c>
      <c r="T1340" s="19" t="s">
        <v>36</v>
      </c>
      <c r="U1340" s="20" t="s">
        <v>603</v>
      </c>
      <c r="V1340" s="22">
        <v>40</v>
      </c>
      <c r="W1340" s="22">
        <v>1</v>
      </c>
      <c r="X1340" s="23"/>
    </row>
    <row r="1341" spans="1:24" s="1" customFormat="1" ht="51.95" customHeight="1" x14ac:dyDescent="0.3">
      <c r="A1341" s="11" t="s">
        <v>23</v>
      </c>
      <c r="B1341" s="11" t="s">
        <v>1268</v>
      </c>
      <c r="C1341" s="12" t="s">
        <v>1716</v>
      </c>
      <c r="D1341" s="59"/>
      <c r="E1341" s="39" t="str">
        <f>HYPERLINK("https://www.google.ru/search?q=3028262-001&amp;newwindow=1&amp;tbm=isch","Еще фото")</f>
        <v>Еще фото</v>
      </c>
      <c r="F1341" s="13" t="s">
        <v>98</v>
      </c>
      <c r="G1341" s="11" t="s">
        <v>808</v>
      </c>
      <c r="H1341" s="11" t="s">
        <v>593</v>
      </c>
      <c r="I1341" s="14" t="s">
        <v>809</v>
      </c>
      <c r="J1341" s="14" t="s">
        <v>29</v>
      </c>
      <c r="K1341" s="15" t="s">
        <v>64</v>
      </c>
      <c r="L1341" s="56" t="s">
        <v>1717</v>
      </c>
      <c r="M1341" s="14"/>
      <c r="N1341" s="14" t="s">
        <v>33</v>
      </c>
      <c r="O1341" s="14"/>
      <c r="P1341" s="15" t="s">
        <v>597</v>
      </c>
      <c r="Q1341" s="16">
        <v>10999</v>
      </c>
      <c r="R1341" s="17">
        <v>40</v>
      </c>
      <c r="S1341" s="18">
        <v>7589.3099999999986</v>
      </c>
      <c r="T1341" s="19" t="s">
        <v>36</v>
      </c>
      <c r="U1341" s="20" t="s">
        <v>813</v>
      </c>
      <c r="V1341" s="28">
        <v>35.5</v>
      </c>
      <c r="W1341" s="22">
        <v>2</v>
      </c>
      <c r="X1341" s="23"/>
    </row>
    <row r="1342" spans="1:24" s="1" customFormat="1" ht="60.95" customHeight="1" x14ac:dyDescent="0.3">
      <c r="A1342" s="24" t="s">
        <v>23</v>
      </c>
      <c r="B1342" s="24" t="s">
        <v>1268</v>
      </c>
      <c r="C1342" s="12" t="s">
        <v>1716</v>
      </c>
      <c r="D1342" s="60"/>
      <c r="E1342" s="39" t="str">
        <f>HYPERLINK("https://www.google.ru/search?q=3028262-001&amp;newwindow=1&amp;tbm=isch","Еще фото")</f>
        <v>Еще фото</v>
      </c>
      <c r="F1342" s="13" t="s">
        <v>98</v>
      </c>
      <c r="G1342" s="24" t="s">
        <v>808</v>
      </c>
      <c r="H1342" s="24" t="s">
        <v>593</v>
      </c>
      <c r="I1342" s="24" t="s">
        <v>809</v>
      </c>
      <c r="J1342" s="14" t="s">
        <v>29</v>
      </c>
      <c r="K1342" s="15" t="s">
        <v>64</v>
      </c>
      <c r="L1342" s="58"/>
      <c r="M1342" s="14"/>
      <c r="N1342" s="14" t="s">
        <v>33</v>
      </c>
      <c r="O1342" s="14"/>
      <c r="P1342" s="15" t="s">
        <v>597</v>
      </c>
      <c r="Q1342" s="16">
        <v>10999</v>
      </c>
      <c r="R1342" s="17">
        <v>40</v>
      </c>
      <c r="S1342" s="18">
        <v>7589.3099999999986</v>
      </c>
      <c r="T1342" s="19" t="s">
        <v>36</v>
      </c>
      <c r="U1342" s="20" t="s">
        <v>600</v>
      </c>
      <c r="V1342" s="22">
        <v>38</v>
      </c>
      <c r="W1342" s="22">
        <v>1</v>
      </c>
      <c r="X1342" s="23"/>
    </row>
    <row r="1343" spans="1:24" s="1" customFormat="1" ht="108" customHeight="1" x14ac:dyDescent="0.3">
      <c r="A1343" s="11" t="s">
        <v>23</v>
      </c>
      <c r="B1343" s="11" t="s">
        <v>1268</v>
      </c>
      <c r="C1343" s="12" t="s">
        <v>1718</v>
      </c>
      <c r="D1343" s="25"/>
      <c r="E1343" s="39" t="str">
        <f>HYPERLINK("https://www.google.ru/search?q=3028262-002&amp;newwindow=1&amp;tbm=isch","Еще фото")</f>
        <v>Еще фото</v>
      </c>
      <c r="F1343" s="13" t="s">
        <v>98</v>
      </c>
      <c r="G1343" s="11" t="s">
        <v>808</v>
      </c>
      <c r="H1343" s="11" t="s">
        <v>593</v>
      </c>
      <c r="I1343" s="14" t="s">
        <v>809</v>
      </c>
      <c r="J1343" s="14" t="s">
        <v>29</v>
      </c>
      <c r="K1343" s="15" t="s">
        <v>64</v>
      </c>
      <c r="L1343" s="14" t="s">
        <v>1270</v>
      </c>
      <c r="M1343" s="14"/>
      <c r="N1343" s="14" t="s">
        <v>33</v>
      </c>
      <c r="O1343" s="14"/>
      <c r="P1343" s="15" t="s">
        <v>597</v>
      </c>
      <c r="Q1343" s="16">
        <v>10999</v>
      </c>
      <c r="R1343" s="17">
        <v>40</v>
      </c>
      <c r="S1343" s="18">
        <v>7589.3099999999986</v>
      </c>
      <c r="T1343" s="19" t="s">
        <v>36</v>
      </c>
      <c r="U1343" s="20" t="s">
        <v>598</v>
      </c>
      <c r="V1343" s="22">
        <v>37</v>
      </c>
      <c r="W1343" s="22">
        <v>1</v>
      </c>
      <c r="X1343" s="23"/>
    </row>
    <row r="1344" spans="1:24" s="1" customFormat="1" ht="51.95" customHeight="1" x14ac:dyDescent="0.3">
      <c r="A1344" s="11" t="s">
        <v>23</v>
      </c>
      <c r="B1344" s="11" t="s">
        <v>1268</v>
      </c>
      <c r="C1344" s="12" t="s">
        <v>1719</v>
      </c>
      <c r="D1344" s="59"/>
      <c r="E1344" s="39" t="str">
        <f>HYPERLINK("https://www.google.ru/search?q=3028262-016&amp;newwindow=1&amp;tbm=isch","Еще фото")</f>
        <v>Еще фото</v>
      </c>
      <c r="F1344" s="13"/>
      <c r="G1344" s="11" t="s">
        <v>808</v>
      </c>
      <c r="H1344" s="11" t="s">
        <v>593</v>
      </c>
      <c r="I1344" s="14" t="s">
        <v>809</v>
      </c>
      <c r="J1344" s="14" t="s">
        <v>29</v>
      </c>
      <c r="K1344" s="15" t="s">
        <v>64</v>
      </c>
      <c r="L1344" s="56" t="s">
        <v>1270</v>
      </c>
      <c r="M1344" s="14"/>
      <c r="N1344" s="14" t="s">
        <v>84</v>
      </c>
      <c r="O1344" s="14"/>
      <c r="P1344" s="15" t="s">
        <v>597</v>
      </c>
      <c r="Q1344" s="16">
        <v>12199</v>
      </c>
      <c r="R1344" s="17">
        <v>40</v>
      </c>
      <c r="S1344" s="18">
        <v>8417.31</v>
      </c>
      <c r="T1344" s="19" t="s">
        <v>36</v>
      </c>
      <c r="U1344" s="20" t="s">
        <v>814</v>
      </c>
      <c r="V1344" s="28">
        <v>36.5</v>
      </c>
      <c r="W1344" s="22">
        <v>1</v>
      </c>
      <c r="X1344" s="23"/>
    </row>
    <row r="1345" spans="1:24" s="1" customFormat="1" ht="60.95" customHeight="1" x14ac:dyDescent="0.3">
      <c r="A1345" s="24" t="s">
        <v>23</v>
      </c>
      <c r="B1345" s="24" t="s">
        <v>1268</v>
      </c>
      <c r="C1345" s="12" t="s">
        <v>1719</v>
      </c>
      <c r="D1345" s="60"/>
      <c r="E1345" s="39" t="str">
        <f>HYPERLINK("https://www.google.ru/search?q=3028262-016&amp;newwindow=1&amp;tbm=isch","Еще фото")</f>
        <v>Еще фото</v>
      </c>
      <c r="F1345" s="13"/>
      <c r="G1345" s="24" t="s">
        <v>808</v>
      </c>
      <c r="H1345" s="24" t="s">
        <v>593</v>
      </c>
      <c r="I1345" s="24" t="s">
        <v>809</v>
      </c>
      <c r="J1345" s="14" t="s">
        <v>29</v>
      </c>
      <c r="K1345" s="15" t="s">
        <v>64</v>
      </c>
      <c r="L1345" s="58"/>
      <c r="M1345" s="14"/>
      <c r="N1345" s="14" t="s">
        <v>84</v>
      </c>
      <c r="O1345" s="14"/>
      <c r="P1345" s="15" t="s">
        <v>597</v>
      </c>
      <c r="Q1345" s="16">
        <v>12199</v>
      </c>
      <c r="R1345" s="17">
        <v>40</v>
      </c>
      <c r="S1345" s="18">
        <v>8417.31</v>
      </c>
      <c r="T1345" s="19" t="s">
        <v>36</v>
      </c>
      <c r="U1345" s="20" t="s">
        <v>598</v>
      </c>
      <c r="V1345" s="22">
        <v>37</v>
      </c>
      <c r="W1345" s="22">
        <v>1</v>
      </c>
      <c r="X1345" s="23"/>
    </row>
    <row r="1346" spans="1:24" s="1" customFormat="1" ht="51.95" customHeight="1" x14ac:dyDescent="0.3">
      <c r="A1346" s="11" t="s">
        <v>23</v>
      </c>
      <c r="B1346" s="11" t="s">
        <v>1268</v>
      </c>
      <c r="C1346" s="12" t="s">
        <v>1720</v>
      </c>
      <c r="D1346" s="59"/>
      <c r="E1346" s="39" t="str">
        <f>HYPERLINK("https://www.google.ru/search?q=3028262-377&amp;newwindow=1&amp;tbm=isch","Еще фото")</f>
        <v>Еще фото</v>
      </c>
      <c r="F1346" s="13"/>
      <c r="G1346" s="11" t="s">
        <v>808</v>
      </c>
      <c r="H1346" s="11" t="s">
        <v>593</v>
      </c>
      <c r="I1346" s="14" t="s">
        <v>809</v>
      </c>
      <c r="J1346" s="14" t="s">
        <v>29</v>
      </c>
      <c r="K1346" s="15" t="s">
        <v>64</v>
      </c>
      <c r="L1346" s="56" t="s">
        <v>1717</v>
      </c>
      <c r="M1346" s="14"/>
      <c r="N1346" s="14" t="s">
        <v>125</v>
      </c>
      <c r="O1346" s="14"/>
      <c r="P1346" s="15" t="s">
        <v>928</v>
      </c>
      <c r="Q1346" s="16">
        <v>12199</v>
      </c>
      <c r="R1346" s="17">
        <v>40</v>
      </c>
      <c r="S1346" s="18">
        <v>8417.31</v>
      </c>
      <c r="T1346" s="19" t="s">
        <v>36</v>
      </c>
      <c r="U1346" s="20" t="s">
        <v>598</v>
      </c>
      <c r="V1346" s="22">
        <v>37</v>
      </c>
      <c r="W1346" s="22">
        <v>1</v>
      </c>
      <c r="X1346" s="23"/>
    </row>
    <row r="1347" spans="1:24" s="1" customFormat="1" ht="60.95" customHeight="1" x14ac:dyDescent="0.3">
      <c r="A1347" s="24" t="s">
        <v>23</v>
      </c>
      <c r="B1347" s="24" t="s">
        <v>1268</v>
      </c>
      <c r="C1347" s="12" t="s">
        <v>1720</v>
      </c>
      <c r="D1347" s="60"/>
      <c r="E1347" s="39" t="str">
        <f>HYPERLINK("https://www.google.ru/search?q=3028262-377&amp;newwindow=1&amp;tbm=isch","Еще фото")</f>
        <v>Еще фото</v>
      </c>
      <c r="F1347" s="13"/>
      <c r="G1347" s="24" t="s">
        <v>808</v>
      </c>
      <c r="H1347" s="24" t="s">
        <v>593</v>
      </c>
      <c r="I1347" s="24" t="s">
        <v>809</v>
      </c>
      <c r="J1347" s="14" t="s">
        <v>29</v>
      </c>
      <c r="K1347" s="15" t="s">
        <v>64</v>
      </c>
      <c r="L1347" s="58"/>
      <c r="M1347" s="14"/>
      <c r="N1347" s="14" t="s">
        <v>125</v>
      </c>
      <c r="O1347" s="14"/>
      <c r="P1347" s="15" t="s">
        <v>928</v>
      </c>
      <c r="Q1347" s="16">
        <v>12199</v>
      </c>
      <c r="R1347" s="17">
        <v>40</v>
      </c>
      <c r="S1347" s="18">
        <v>8417.31</v>
      </c>
      <c r="T1347" s="19" t="s">
        <v>36</v>
      </c>
      <c r="U1347" s="20" t="s">
        <v>599</v>
      </c>
      <c r="V1347" s="28">
        <v>37.5</v>
      </c>
      <c r="W1347" s="22">
        <v>1</v>
      </c>
      <c r="X1347" s="23"/>
    </row>
    <row r="1348" spans="1:24" s="1" customFormat="1" ht="35.1" customHeight="1" x14ac:dyDescent="0.3">
      <c r="A1348" s="11" t="s">
        <v>23</v>
      </c>
      <c r="B1348" s="11" t="s">
        <v>1311</v>
      </c>
      <c r="C1348" s="12" t="s">
        <v>1721</v>
      </c>
      <c r="D1348" s="53"/>
      <c r="E1348" s="39" t="str">
        <f>HYPERLINK("https://www.google.ru/search?q=3028371-101&amp;newwindow=1&amp;tbm=isch","Еще фото")</f>
        <v>Еще фото</v>
      </c>
      <c r="F1348" s="13"/>
      <c r="G1348" s="11" t="s">
        <v>808</v>
      </c>
      <c r="H1348" s="11" t="s">
        <v>593</v>
      </c>
      <c r="I1348" s="14" t="s">
        <v>809</v>
      </c>
      <c r="J1348" s="14" t="s">
        <v>29</v>
      </c>
      <c r="K1348" s="15" t="s">
        <v>30</v>
      </c>
      <c r="L1348" s="56" t="s">
        <v>1313</v>
      </c>
      <c r="M1348" s="14"/>
      <c r="N1348" s="14" t="s">
        <v>84</v>
      </c>
      <c r="O1348" s="14"/>
      <c r="P1348" s="15" t="s">
        <v>1722</v>
      </c>
      <c r="Q1348" s="16">
        <v>11599</v>
      </c>
      <c r="R1348" s="17">
        <v>40</v>
      </c>
      <c r="S1348" s="18">
        <v>8003.3099999999986</v>
      </c>
      <c r="T1348" s="19" t="s">
        <v>36</v>
      </c>
      <c r="U1348" s="20" t="s">
        <v>599</v>
      </c>
      <c r="V1348" s="28">
        <v>39.5</v>
      </c>
      <c r="W1348" s="22">
        <v>1</v>
      </c>
      <c r="X1348" s="23"/>
    </row>
    <row r="1349" spans="1:24" s="1" customFormat="1" ht="35.1" customHeight="1" x14ac:dyDescent="0.3">
      <c r="A1349" s="24" t="s">
        <v>23</v>
      </c>
      <c r="B1349" s="24" t="s">
        <v>1311</v>
      </c>
      <c r="C1349" s="12" t="s">
        <v>1721</v>
      </c>
      <c r="D1349" s="54"/>
      <c r="E1349" s="39" t="str">
        <f>HYPERLINK("https://www.google.ru/search?q=3028371-101&amp;newwindow=1&amp;tbm=isch","Еще фото")</f>
        <v>Еще фото</v>
      </c>
      <c r="F1349" s="13"/>
      <c r="G1349" s="24" t="s">
        <v>808</v>
      </c>
      <c r="H1349" s="24" t="s">
        <v>593</v>
      </c>
      <c r="I1349" s="24" t="s">
        <v>809</v>
      </c>
      <c r="J1349" s="14" t="s">
        <v>29</v>
      </c>
      <c r="K1349" s="15" t="s">
        <v>30</v>
      </c>
      <c r="L1349" s="57"/>
      <c r="M1349" s="14"/>
      <c r="N1349" s="14" t="s">
        <v>84</v>
      </c>
      <c r="O1349" s="14"/>
      <c r="P1349" s="15" t="s">
        <v>1722</v>
      </c>
      <c r="Q1349" s="16">
        <v>11599</v>
      </c>
      <c r="R1349" s="17">
        <v>40</v>
      </c>
      <c r="S1349" s="18">
        <v>8003.3099999999986</v>
      </c>
      <c r="T1349" s="19" t="s">
        <v>36</v>
      </c>
      <c r="U1349" s="20" t="s">
        <v>601</v>
      </c>
      <c r="V1349" s="22">
        <v>41</v>
      </c>
      <c r="W1349" s="22">
        <v>1</v>
      </c>
      <c r="X1349" s="23"/>
    </row>
    <row r="1350" spans="1:24" s="1" customFormat="1" ht="36.950000000000003" customHeight="1" x14ac:dyDescent="0.3">
      <c r="A1350" s="24" t="s">
        <v>23</v>
      </c>
      <c r="B1350" s="24" t="s">
        <v>1311</v>
      </c>
      <c r="C1350" s="12" t="s">
        <v>1721</v>
      </c>
      <c r="D1350" s="55"/>
      <c r="E1350" s="39" t="str">
        <f>HYPERLINK("https://www.google.ru/search?q=3028371-101&amp;newwindow=1&amp;tbm=isch","Еще фото")</f>
        <v>Еще фото</v>
      </c>
      <c r="F1350" s="13"/>
      <c r="G1350" s="24" t="s">
        <v>808</v>
      </c>
      <c r="H1350" s="24" t="s">
        <v>593</v>
      </c>
      <c r="I1350" s="24" t="s">
        <v>809</v>
      </c>
      <c r="J1350" s="14" t="s">
        <v>29</v>
      </c>
      <c r="K1350" s="15" t="s">
        <v>30</v>
      </c>
      <c r="L1350" s="58"/>
      <c r="M1350" s="14"/>
      <c r="N1350" s="14" t="s">
        <v>84</v>
      </c>
      <c r="O1350" s="14"/>
      <c r="P1350" s="15" t="s">
        <v>1722</v>
      </c>
      <c r="Q1350" s="16">
        <v>11599</v>
      </c>
      <c r="R1350" s="17">
        <v>40</v>
      </c>
      <c r="S1350" s="18">
        <v>8003.3099999999986</v>
      </c>
      <c r="T1350" s="19" t="s">
        <v>36</v>
      </c>
      <c r="U1350" s="20" t="s">
        <v>602</v>
      </c>
      <c r="V1350" s="28">
        <v>41.5</v>
      </c>
      <c r="W1350" s="22">
        <v>5</v>
      </c>
      <c r="X1350" s="23"/>
    </row>
    <row r="1351" spans="1:24" s="1" customFormat="1" ht="17.100000000000001" customHeight="1" x14ac:dyDescent="0.3">
      <c r="A1351" s="11" t="s">
        <v>23</v>
      </c>
      <c r="B1351" s="11" t="s">
        <v>1311</v>
      </c>
      <c r="C1351" s="12" t="s">
        <v>1723</v>
      </c>
      <c r="D1351" s="53"/>
      <c r="E1351" s="39" t="str">
        <f t="shared" ref="E1351:E1356" si="30">HYPERLINK("https://www.google.ru/search?q=3028371-289&amp;newwindow=1&amp;tbm=isch","Еще фото")</f>
        <v>Еще фото</v>
      </c>
      <c r="F1351" s="13"/>
      <c r="G1351" s="11" t="s">
        <v>808</v>
      </c>
      <c r="H1351" s="11" t="s">
        <v>593</v>
      </c>
      <c r="I1351" s="14" t="s">
        <v>809</v>
      </c>
      <c r="J1351" s="14" t="s">
        <v>29</v>
      </c>
      <c r="K1351" s="15" t="s">
        <v>30</v>
      </c>
      <c r="L1351" s="56" t="s">
        <v>1313</v>
      </c>
      <c r="M1351" s="14"/>
      <c r="N1351" s="14" t="s">
        <v>215</v>
      </c>
      <c r="O1351" s="14"/>
      <c r="P1351" s="15" t="s">
        <v>1314</v>
      </c>
      <c r="Q1351" s="16">
        <v>10799</v>
      </c>
      <c r="R1351" s="17">
        <v>40</v>
      </c>
      <c r="S1351" s="18">
        <v>7451.3099999999986</v>
      </c>
      <c r="T1351" s="19" t="s">
        <v>36</v>
      </c>
      <c r="U1351" s="20" t="s">
        <v>599</v>
      </c>
      <c r="V1351" s="28">
        <v>39.5</v>
      </c>
      <c r="W1351" s="22">
        <v>5</v>
      </c>
      <c r="X1351" s="23"/>
    </row>
    <row r="1352" spans="1:24" s="1" customFormat="1" ht="17.100000000000001" customHeight="1" x14ac:dyDescent="0.3">
      <c r="A1352" s="24" t="s">
        <v>23</v>
      </c>
      <c r="B1352" s="24" t="s">
        <v>1311</v>
      </c>
      <c r="C1352" s="12" t="s">
        <v>1723</v>
      </c>
      <c r="D1352" s="54"/>
      <c r="E1352" s="39" t="str">
        <f t="shared" si="30"/>
        <v>Еще фото</v>
      </c>
      <c r="F1352" s="13"/>
      <c r="G1352" s="24" t="s">
        <v>808</v>
      </c>
      <c r="H1352" s="24" t="s">
        <v>593</v>
      </c>
      <c r="I1352" s="24" t="s">
        <v>809</v>
      </c>
      <c r="J1352" s="14" t="s">
        <v>29</v>
      </c>
      <c r="K1352" s="15" t="s">
        <v>30</v>
      </c>
      <c r="L1352" s="57"/>
      <c r="M1352" s="14"/>
      <c r="N1352" s="14" t="s">
        <v>215</v>
      </c>
      <c r="O1352" s="14"/>
      <c r="P1352" s="15" t="s">
        <v>1314</v>
      </c>
      <c r="Q1352" s="16">
        <v>10799</v>
      </c>
      <c r="R1352" s="17">
        <v>40</v>
      </c>
      <c r="S1352" s="18">
        <v>7451.3099999999986</v>
      </c>
      <c r="T1352" s="19" t="s">
        <v>36</v>
      </c>
      <c r="U1352" s="20" t="s">
        <v>600</v>
      </c>
      <c r="V1352" s="22">
        <v>40</v>
      </c>
      <c r="W1352" s="22">
        <v>4</v>
      </c>
      <c r="X1352" s="23"/>
    </row>
    <row r="1353" spans="1:24" s="1" customFormat="1" ht="17.100000000000001" customHeight="1" x14ac:dyDescent="0.3">
      <c r="A1353" s="24" t="s">
        <v>23</v>
      </c>
      <c r="B1353" s="24" t="s">
        <v>1311</v>
      </c>
      <c r="C1353" s="12" t="s">
        <v>1723</v>
      </c>
      <c r="D1353" s="54"/>
      <c r="E1353" s="39" t="str">
        <f t="shared" si="30"/>
        <v>Еще фото</v>
      </c>
      <c r="F1353" s="13"/>
      <c r="G1353" s="24" t="s">
        <v>808</v>
      </c>
      <c r="H1353" s="24" t="s">
        <v>593</v>
      </c>
      <c r="I1353" s="24" t="s">
        <v>809</v>
      </c>
      <c r="J1353" s="14" t="s">
        <v>29</v>
      </c>
      <c r="K1353" s="15" t="s">
        <v>30</v>
      </c>
      <c r="L1353" s="57"/>
      <c r="M1353" s="14"/>
      <c r="N1353" s="14" t="s">
        <v>215</v>
      </c>
      <c r="O1353" s="14"/>
      <c r="P1353" s="15" t="s">
        <v>1314</v>
      </c>
      <c r="Q1353" s="16">
        <v>10799</v>
      </c>
      <c r="R1353" s="17">
        <v>40</v>
      </c>
      <c r="S1353" s="18">
        <v>7451.3099999999986</v>
      </c>
      <c r="T1353" s="19" t="s">
        <v>36</v>
      </c>
      <c r="U1353" s="20" t="s">
        <v>601</v>
      </c>
      <c r="V1353" s="22">
        <v>41</v>
      </c>
      <c r="W1353" s="22">
        <v>2</v>
      </c>
      <c r="X1353" s="23"/>
    </row>
    <row r="1354" spans="1:24" s="1" customFormat="1" ht="17.100000000000001" customHeight="1" x14ac:dyDescent="0.3">
      <c r="A1354" s="24" t="s">
        <v>23</v>
      </c>
      <c r="B1354" s="24" t="s">
        <v>1311</v>
      </c>
      <c r="C1354" s="12" t="s">
        <v>1723</v>
      </c>
      <c r="D1354" s="54"/>
      <c r="E1354" s="39" t="str">
        <f t="shared" si="30"/>
        <v>Еще фото</v>
      </c>
      <c r="F1354" s="13"/>
      <c r="G1354" s="24" t="s">
        <v>808</v>
      </c>
      <c r="H1354" s="24" t="s">
        <v>593</v>
      </c>
      <c r="I1354" s="24" t="s">
        <v>809</v>
      </c>
      <c r="J1354" s="14" t="s">
        <v>29</v>
      </c>
      <c r="K1354" s="15" t="s">
        <v>30</v>
      </c>
      <c r="L1354" s="57"/>
      <c r="M1354" s="14"/>
      <c r="N1354" s="14" t="s">
        <v>215</v>
      </c>
      <c r="O1354" s="14"/>
      <c r="P1354" s="15" t="s">
        <v>1314</v>
      </c>
      <c r="Q1354" s="16">
        <v>10799</v>
      </c>
      <c r="R1354" s="17">
        <v>40</v>
      </c>
      <c r="S1354" s="18">
        <v>7451.3099999999986</v>
      </c>
      <c r="T1354" s="19" t="s">
        <v>36</v>
      </c>
      <c r="U1354" s="20" t="s">
        <v>602</v>
      </c>
      <c r="V1354" s="28">
        <v>41.5</v>
      </c>
      <c r="W1354" s="22">
        <v>5</v>
      </c>
      <c r="X1354" s="23"/>
    </row>
    <row r="1355" spans="1:24" s="1" customFormat="1" ht="17.100000000000001" customHeight="1" x14ac:dyDescent="0.3">
      <c r="A1355" s="24" t="s">
        <v>23</v>
      </c>
      <c r="B1355" s="24" t="s">
        <v>1311</v>
      </c>
      <c r="C1355" s="12" t="s">
        <v>1723</v>
      </c>
      <c r="D1355" s="54"/>
      <c r="E1355" s="39" t="str">
        <f t="shared" si="30"/>
        <v>Еще фото</v>
      </c>
      <c r="F1355" s="13"/>
      <c r="G1355" s="24" t="s">
        <v>808</v>
      </c>
      <c r="H1355" s="24" t="s">
        <v>593</v>
      </c>
      <c r="I1355" s="24" t="s">
        <v>809</v>
      </c>
      <c r="J1355" s="14" t="s">
        <v>29</v>
      </c>
      <c r="K1355" s="15" t="s">
        <v>30</v>
      </c>
      <c r="L1355" s="57"/>
      <c r="M1355" s="14"/>
      <c r="N1355" s="14" t="s">
        <v>215</v>
      </c>
      <c r="O1355" s="14"/>
      <c r="P1355" s="15" t="s">
        <v>1314</v>
      </c>
      <c r="Q1355" s="16">
        <v>10799</v>
      </c>
      <c r="R1355" s="17">
        <v>40</v>
      </c>
      <c r="S1355" s="18">
        <v>7451.3099999999986</v>
      </c>
      <c r="T1355" s="19" t="s">
        <v>36</v>
      </c>
      <c r="U1355" s="20" t="s">
        <v>605</v>
      </c>
      <c r="V1355" s="28">
        <v>43.5</v>
      </c>
      <c r="W1355" s="22">
        <v>1</v>
      </c>
      <c r="X1355" s="23"/>
    </row>
    <row r="1356" spans="1:24" s="1" customFormat="1" ht="21.95" customHeight="1" x14ac:dyDescent="0.3">
      <c r="A1356" s="24" t="s">
        <v>23</v>
      </c>
      <c r="B1356" s="24" t="s">
        <v>1311</v>
      </c>
      <c r="C1356" s="12" t="s">
        <v>1723</v>
      </c>
      <c r="D1356" s="55"/>
      <c r="E1356" s="39" t="str">
        <f t="shared" si="30"/>
        <v>Еще фото</v>
      </c>
      <c r="F1356" s="13"/>
      <c r="G1356" s="24" t="s">
        <v>808</v>
      </c>
      <c r="H1356" s="24" t="s">
        <v>593</v>
      </c>
      <c r="I1356" s="24" t="s">
        <v>809</v>
      </c>
      <c r="J1356" s="14" t="s">
        <v>29</v>
      </c>
      <c r="K1356" s="15" t="s">
        <v>30</v>
      </c>
      <c r="L1356" s="58"/>
      <c r="M1356" s="14"/>
      <c r="N1356" s="14" t="s">
        <v>215</v>
      </c>
      <c r="O1356" s="14"/>
      <c r="P1356" s="15" t="s">
        <v>1314</v>
      </c>
      <c r="Q1356" s="16">
        <v>10799</v>
      </c>
      <c r="R1356" s="17">
        <v>40</v>
      </c>
      <c r="S1356" s="18">
        <v>7451.3099999999986</v>
      </c>
      <c r="T1356" s="19" t="s">
        <v>36</v>
      </c>
      <c r="U1356" s="20" t="s">
        <v>607</v>
      </c>
      <c r="V1356" s="28">
        <v>44.5</v>
      </c>
      <c r="W1356" s="22">
        <v>2</v>
      </c>
      <c r="X1356" s="23"/>
    </row>
    <row r="1357" spans="1:24" s="1" customFormat="1" ht="35.1" customHeight="1" x14ac:dyDescent="0.3">
      <c r="A1357" s="11" t="s">
        <v>23</v>
      </c>
      <c r="B1357" s="11" t="s">
        <v>1175</v>
      </c>
      <c r="C1357" s="12" t="s">
        <v>1724</v>
      </c>
      <c r="D1357" s="53"/>
      <c r="E1357" s="39" t="str">
        <f>HYPERLINK("https://www.google.ru/search?q=3028375-001&amp;newwindow=1&amp;tbm=isch","Еще фото")</f>
        <v>Еще фото</v>
      </c>
      <c r="F1357" s="13" t="s">
        <v>98</v>
      </c>
      <c r="G1357" s="11" t="s">
        <v>808</v>
      </c>
      <c r="H1357" s="11" t="s">
        <v>593</v>
      </c>
      <c r="I1357" s="14" t="s">
        <v>809</v>
      </c>
      <c r="J1357" s="14" t="s">
        <v>29</v>
      </c>
      <c r="K1357" s="15" t="s">
        <v>30</v>
      </c>
      <c r="L1357" s="56" t="s">
        <v>1725</v>
      </c>
      <c r="M1357" s="14"/>
      <c r="N1357" s="14" t="s">
        <v>33</v>
      </c>
      <c r="O1357" s="14"/>
      <c r="P1357" s="15" t="s">
        <v>1726</v>
      </c>
      <c r="Q1357" s="16">
        <v>9199</v>
      </c>
      <c r="R1357" s="17">
        <v>40</v>
      </c>
      <c r="S1357" s="18">
        <v>6347.3099999999995</v>
      </c>
      <c r="T1357" s="19" t="s">
        <v>36</v>
      </c>
      <c r="U1357" s="20" t="s">
        <v>602</v>
      </c>
      <c r="V1357" s="28">
        <v>41.5</v>
      </c>
      <c r="W1357" s="22">
        <v>2</v>
      </c>
      <c r="X1357" s="23"/>
    </row>
    <row r="1358" spans="1:24" s="1" customFormat="1" ht="35.1" customHeight="1" x14ac:dyDescent="0.3">
      <c r="A1358" s="24" t="s">
        <v>23</v>
      </c>
      <c r="B1358" s="24" t="s">
        <v>1175</v>
      </c>
      <c r="C1358" s="12" t="s">
        <v>1724</v>
      </c>
      <c r="D1358" s="54"/>
      <c r="E1358" s="39" t="str">
        <f>HYPERLINK("https://www.google.ru/search?q=3028375-001&amp;newwindow=1&amp;tbm=isch","Еще фото")</f>
        <v>Еще фото</v>
      </c>
      <c r="F1358" s="13" t="s">
        <v>98</v>
      </c>
      <c r="G1358" s="24" t="s">
        <v>808</v>
      </c>
      <c r="H1358" s="24" t="s">
        <v>593</v>
      </c>
      <c r="I1358" s="24" t="s">
        <v>809</v>
      </c>
      <c r="J1358" s="14" t="s">
        <v>29</v>
      </c>
      <c r="K1358" s="15" t="s">
        <v>30</v>
      </c>
      <c r="L1358" s="57"/>
      <c r="M1358" s="14"/>
      <c r="N1358" s="14" t="s">
        <v>33</v>
      </c>
      <c r="O1358" s="14"/>
      <c r="P1358" s="15" t="s">
        <v>1726</v>
      </c>
      <c r="Q1358" s="16">
        <v>9199</v>
      </c>
      <c r="R1358" s="17">
        <v>40</v>
      </c>
      <c r="S1358" s="18">
        <v>6347.3099999999995</v>
      </c>
      <c r="T1358" s="19" t="s">
        <v>36</v>
      </c>
      <c r="U1358" s="20" t="s">
        <v>604</v>
      </c>
      <c r="V1358" s="22">
        <v>43</v>
      </c>
      <c r="W1358" s="22">
        <v>1</v>
      </c>
      <c r="X1358" s="23"/>
    </row>
    <row r="1359" spans="1:24" s="1" customFormat="1" ht="36.950000000000003" customHeight="1" x14ac:dyDescent="0.3">
      <c r="A1359" s="24" t="s">
        <v>23</v>
      </c>
      <c r="B1359" s="24" t="s">
        <v>1175</v>
      </c>
      <c r="C1359" s="12" t="s">
        <v>1724</v>
      </c>
      <c r="D1359" s="55"/>
      <c r="E1359" s="39" t="str">
        <f>HYPERLINK("https://www.google.ru/search?q=3028375-001&amp;newwindow=1&amp;tbm=isch","Еще фото")</f>
        <v>Еще фото</v>
      </c>
      <c r="F1359" s="13" t="s">
        <v>98</v>
      </c>
      <c r="G1359" s="24" t="s">
        <v>808</v>
      </c>
      <c r="H1359" s="24" t="s">
        <v>593</v>
      </c>
      <c r="I1359" s="24" t="s">
        <v>809</v>
      </c>
      <c r="J1359" s="14" t="s">
        <v>29</v>
      </c>
      <c r="K1359" s="15" t="s">
        <v>30</v>
      </c>
      <c r="L1359" s="58"/>
      <c r="M1359" s="14"/>
      <c r="N1359" s="14" t="s">
        <v>33</v>
      </c>
      <c r="O1359" s="14"/>
      <c r="P1359" s="15" t="s">
        <v>1726</v>
      </c>
      <c r="Q1359" s="16">
        <v>9199</v>
      </c>
      <c r="R1359" s="17">
        <v>40</v>
      </c>
      <c r="S1359" s="18">
        <v>6347.3099999999995</v>
      </c>
      <c r="T1359" s="19" t="s">
        <v>36</v>
      </c>
      <c r="U1359" s="20" t="s">
        <v>606</v>
      </c>
      <c r="V1359" s="22">
        <v>44</v>
      </c>
      <c r="W1359" s="22">
        <v>2</v>
      </c>
      <c r="X1359" s="23"/>
    </row>
    <row r="1360" spans="1:24" s="1" customFormat="1" ht="12.95" customHeight="1" x14ac:dyDescent="0.3">
      <c r="A1360" s="11" t="s">
        <v>23</v>
      </c>
      <c r="B1360" s="11" t="s">
        <v>1175</v>
      </c>
      <c r="C1360" s="12" t="s">
        <v>1727</v>
      </c>
      <c r="D1360" s="53"/>
      <c r="E1360" s="39" t="str">
        <f t="shared" ref="E1360:E1367" si="31">HYPERLINK("https://www.google.ru/search?q=3028375-100&amp;newwindow=1&amp;tbm=isch","Еще фото")</f>
        <v>Еще фото</v>
      </c>
      <c r="F1360" s="13" t="s">
        <v>98</v>
      </c>
      <c r="G1360" s="11" t="s">
        <v>808</v>
      </c>
      <c r="H1360" s="11" t="s">
        <v>593</v>
      </c>
      <c r="I1360" s="14" t="s">
        <v>809</v>
      </c>
      <c r="J1360" s="14" t="s">
        <v>29</v>
      </c>
      <c r="K1360" s="15" t="s">
        <v>30</v>
      </c>
      <c r="L1360" s="56" t="s">
        <v>1725</v>
      </c>
      <c r="M1360" s="14"/>
      <c r="N1360" s="14" t="s">
        <v>74</v>
      </c>
      <c r="O1360" s="14"/>
      <c r="P1360" s="15" t="s">
        <v>1726</v>
      </c>
      <c r="Q1360" s="16">
        <v>9199</v>
      </c>
      <c r="R1360" s="17">
        <v>40</v>
      </c>
      <c r="S1360" s="18">
        <v>6347.3099999999995</v>
      </c>
      <c r="T1360" s="19" t="s">
        <v>36</v>
      </c>
      <c r="U1360" s="35" t="s">
        <v>599</v>
      </c>
      <c r="V1360" s="28">
        <v>39.5</v>
      </c>
      <c r="W1360" s="22">
        <v>4</v>
      </c>
      <c r="X1360" s="23"/>
    </row>
    <row r="1361" spans="1:24" s="1" customFormat="1" ht="12.95" customHeight="1" x14ac:dyDescent="0.3">
      <c r="A1361" s="24" t="s">
        <v>23</v>
      </c>
      <c r="B1361" s="24" t="s">
        <v>1175</v>
      </c>
      <c r="C1361" s="12" t="s">
        <v>1727</v>
      </c>
      <c r="D1361" s="54"/>
      <c r="E1361" s="39" t="str">
        <f t="shared" si="31"/>
        <v>Еще фото</v>
      </c>
      <c r="F1361" s="13" t="s">
        <v>98</v>
      </c>
      <c r="G1361" s="24" t="s">
        <v>808</v>
      </c>
      <c r="H1361" s="24" t="s">
        <v>593</v>
      </c>
      <c r="I1361" s="24" t="s">
        <v>809</v>
      </c>
      <c r="J1361" s="14" t="s">
        <v>29</v>
      </c>
      <c r="K1361" s="15" t="s">
        <v>30</v>
      </c>
      <c r="L1361" s="57"/>
      <c r="M1361" s="14"/>
      <c r="N1361" s="14" t="s">
        <v>74</v>
      </c>
      <c r="O1361" s="14"/>
      <c r="P1361" s="15" t="s">
        <v>1726</v>
      </c>
      <c r="Q1361" s="16">
        <v>9199</v>
      </c>
      <c r="R1361" s="17">
        <v>40</v>
      </c>
      <c r="S1361" s="18">
        <v>6347.3099999999995</v>
      </c>
      <c r="T1361" s="19" t="s">
        <v>36</v>
      </c>
      <c r="U1361" s="20" t="s">
        <v>600</v>
      </c>
      <c r="V1361" s="22">
        <v>40</v>
      </c>
      <c r="W1361" s="22">
        <v>2</v>
      </c>
      <c r="X1361" s="23"/>
    </row>
    <row r="1362" spans="1:24" s="1" customFormat="1" ht="12.95" customHeight="1" x14ac:dyDescent="0.3">
      <c r="A1362" s="24" t="s">
        <v>23</v>
      </c>
      <c r="B1362" s="24" t="s">
        <v>1175</v>
      </c>
      <c r="C1362" s="12" t="s">
        <v>1727</v>
      </c>
      <c r="D1362" s="54"/>
      <c r="E1362" s="39" t="str">
        <f t="shared" si="31"/>
        <v>Еще фото</v>
      </c>
      <c r="F1362" s="13" t="s">
        <v>98</v>
      </c>
      <c r="G1362" s="24" t="s">
        <v>808</v>
      </c>
      <c r="H1362" s="24" t="s">
        <v>593</v>
      </c>
      <c r="I1362" s="24" t="s">
        <v>809</v>
      </c>
      <c r="J1362" s="14" t="s">
        <v>29</v>
      </c>
      <c r="K1362" s="15" t="s">
        <v>30</v>
      </c>
      <c r="L1362" s="57"/>
      <c r="M1362" s="14"/>
      <c r="N1362" s="14" t="s">
        <v>74</v>
      </c>
      <c r="O1362" s="14"/>
      <c r="P1362" s="15" t="s">
        <v>1726</v>
      </c>
      <c r="Q1362" s="16">
        <v>9199</v>
      </c>
      <c r="R1362" s="17">
        <v>40</v>
      </c>
      <c r="S1362" s="18">
        <v>6347.3099999999995</v>
      </c>
      <c r="T1362" s="19" t="s">
        <v>36</v>
      </c>
      <c r="U1362" s="20" t="s">
        <v>602</v>
      </c>
      <c r="V1362" s="28">
        <v>41.5</v>
      </c>
      <c r="W1362" s="22">
        <v>7</v>
      </c>
      <c r="X1362" s="23"/>
    </row>
    <row r="1363" spans="1:24" s="1" customFormat="1" ht="12.95" customHeight="1" x14ac:dyDescent="0.3">
      <c r="A1363" s="24" t="s">
        <v>23</v>
      </c>
      <c r="B1363" s="24" t="s">
        <v>1175</v>
      </c>
      <c r="C1363" s="12" t="s">
        <v>1727</v>
      </c>
      <c r="D1363" s="54"/>
      <c r="E1363" s="39" t="str">
        <f t="shared" si="31"/>
        <v>Еще фото</v>
      </c>
      <c r="F1363" s="13" t="s">
        <v>98</v>
      </c>
      <c r="G1363" s="24" t="s">
        <v>808</v>
      </c>
      <c r="H1363" s="24" t="s">
        <v>593</v>
      </c>
      <c r="I1363" s="24" t="s">
        <v>809</v>
      </c>
      <c r="J1363" s="14" t="s">
        <v>29</v>
      </c>
      <c r="K1363" s="15" t="s">
        <v>30</v>
      </c>
      <c r="L1363" s="57"/>
      <c r="M1363" s="14"/>
      <c r="N1363" s="14" t="s">
        <v>74</v>
      </c>
      <c r="O1363" s="14"/>
      <c r="P1363" s="15" t="s">
        <v>1726</v>
      </c>
      <c r="Q1363" s="16">
        <v>9199</v>
      </c>
      <c r="R1363" s="17">
        <v>40</v>
      </c>
      <c r="S1363" s="18">
        <v>6347.3099999999995</v>
      </c>
      <c r="T1363" s="19" t="s">
        <v>36</v>
      </c>
      <c r="U1363" s="20" t="s">
        <v>603</v>
      </c>
      <c r="V1363" s="22">
        <v>42</v>
      </c>
      <c r="W1363" s="22">
        <v>9</v>
      </c>
      <c r="X1363" s="23"/>
    </row>
    <row r="1364" spans="1:24" s="1" customFormat="1" ht="12.95" customHeight="1" x14ac:dyDescent="0.3">
      <c r="A1364" s="24" t="s">
        <v>23</v>
      </c>
      <c r="B1364" s="24" t="s">
        <v>1175</v>
      </c>
      <c r="C1364" s="12" t="s">
        <v>1727</v>
      </c>
      <c r="D1364" s="54"/>
      <c r="E1364" s="39" t="str">
        <f t="shared" si="31"/>
        <v>Еще фото</v>
      </c>
      <c r="F1364" s="13" t="s">
        <v>98</v>
      </c>
      <c r="G1364" s="24" t="s">
        <v>808</v>
      </c>
      <c r="H1364" s="24" t="s">
        <v>593</v>
      </c>
      <c r="I1364" s="24" t="s">
        <v>809</v>
      </c>
      <c r="J1364" s="14" t="s">
        <v>29</v>
      </c>
      <c r="K1364" s="15" t="s">
        <v>30</v>
      </c>
      <c r="L1364" s="57"/>
      <c r="M1364" s="14"/>
      <c r="N1364" s="14" t="s">
        <v>74</v>
      </c>
      <c r="O1364" s="14"/>
      <c r="P1364" s="15" t="s">
        <v>1726</v>
      </c>
      <c r="Q1364" s="16">
        <v>9199</v>
      </c>
      <c r="R1364" s="17">
        <v>40</v>
      </c>
      <c r="S1364" s="18">
        <v>6347.3099999999995</v>
      </c>
      <c r="T1364" s="19" t="s">
        <v>36</v>
      </c>
      <c r="U1364" s="20" t="s">
        <v>604</v>
      </c>
      <c r="V1364" s="22">
        <v>43</v>
      </c>
      <c r="W1364" s="22">
        <v>1</v>
      </c>
      <c r="X1364" s="23"/>
    </row>
    <row r="1365" spans="1:24" s="1" customFormat="1" ht="12.95" customHeight="1" x14ac:dyDescent="0.3">
      <c r="A1365" s="24" t="s">
        <v>23</v>
      </c>
      <c r="B1365" s="24" t="s">
        <v>1175</v>
      </c>
      <c r="C1365" s="12" t="s">
        <v>1727</v>
      </c>
      <c r="D1365" s="54"/>
      <c r="E1365" s="39" t="str">
        <f t="shared" si="31"/>
        <v>Еще фото</v>
      </c>
      <c r="F1365" s="13" t="s">
        <v>98</v>
      </c>
      <c r="G1365" s="24" t="s">
        <v>808</v>
      </c>
      <c r="H1365" s="24" t="s">
        <v>593</v>
      </c>
      <c r="I1365" s="24" t="s">
        <v>809</v>
      </c>
      <c r="J1365" s="14" t="s">
        <v>29</v>
      </c>
      <c r="K1365" s="15" t="s">
        <v>30</v>
      </c>
      <c r="L1365" s="57"/>
      <c r="M1365" s="14"/>
      <c r="N1365" s="14" t="s">
        <v>74</v>
      </c>
      <c r="O1365" s="14"/>
      <c r="P1365" s="15" t="s">
        <v>1726</v>
      </c>
      <c r="Q1365" s="16">
        <v>9199</v>
      </c>
      <c r="R1365" s="17">
        <v>40</v>
      </c>
      <c r="S1365" s="18">
        <v>6347.3099999999995</v>
      </c>
      <c r="T1365" s="19" t="s">
        <v>36</v>
      </c>
      <c r="U1365" s="20" t="s">
        <v>605</v>
      </c>
      <c r="V1365" s="28">
        <v>43.5</v>
      </c>
      <c r="W1365" s="22">
        <v>7</v>
      </c>
      <c r="X1365" s="23"/>
    </row>
    <row r="1366" spans="1:24" s="1" customFormat="1" ht="12.95" customHeight="1" x14ac:dyDescent="0.3">
      <c r="A1366" s="24" t="s">
        <v>23</v>
      </c>
      <c r="B1366" s="24" t="s">
        <v>1175</v>
      </c>
      <c r="C1366" s="12" t="s">
        <v>1727</v>
      </c>
      <c r="D1366" s="54"/>
      <c r="E1366" s="39" t="str">
        <f t="shared" si="31"/>
        <v>Еще фото</v>
      </c>
      <c r="F1366" s="13" t="s">
        <v>98</v>
      </c>
      <c r="G1366" s="24" t="s">
        <v>808</v>
      </c>
      <c r="H1366" s="24" t="s">
        <v>593</v>
      </c>
      <c r="I1366" s="24" t="s">
        <v>809</v>
      </c>
      <c r="J1366" s="14" t="s">
        <v>29</v>
      </c>
      <c r="K1366" s="15" t="s">
        <v>30</v>
      </c>
      <c r="L1366" s="57"/>
      <c r="M1366" s="14"/>
      <c r="N1366" s="14" t="s">
        <v>74</v>
      </c>
      <c r="O1366" s="14"/>
      <c r="P1366" s="15" t="s">
        <v>1726</v>
      </c>
      <c r="Q1366" s="16">
        <v>9199</v>
      </c>
      <c r="R1366" s="17">
        <v>40</v>
      </c>
      <c r="S1366" s="18">
        <v>6347.3099999999995</v>
      </c>
      <c r="T1366" s="19" t="s">
        <v>36</v>
      </c>
      <c r="U1366" s="20" t="s">
        <v>606</v>
      </c>
      <c r="V1366" s="22">
        <v>44</v>
      </c>
      <c r="W1366" s="22">
        <v>3</v>
      </c>
      <c r="X1366" s="23"/>
    </row>
    <row r="1367" spans="1:24" s="1" customFormat="1" ht="18" customHeight="1" x14ac:dyDescent="0.3">
      <c r="A1367" s="24" t="s">
        <v>23</v>
      </c>
      <c r="B1367" s="24" t="s">
        <v>1175</v>
      </c>
      <c r="C1367" s="12" t="s">
        <v>1727</v>
      </c>
      <c r="D1367" s="55"/>
      <c r="E1367" s="39" t="str">
        <f t="shared" si="31"/>
        <v>Еще фото</v>
      </c>
      <c r="F1367" s="13" t="s">
        <v>98</v>
      </c>
      <c r="G1367" s="24" t="s">
        <v>808</v>
      </c>
      <c r="H1367" s="24" t="s">
        <v>593</v>
      </c>
      <c r="I1367" s="24" t="s">
        <v>809</v>
      </c>
      <c r="J1367" s="14" t="s">
        <v>29</v>
      </c>
      <c r="K1367" s="15" t="s">
        <v>30</v>
      </c>
      <c r="L1367" s="58"/>
      <c r="M1367" s="14"/>
      <c r="N1367" s="14" t="s">
        <v>74</v>
      </c>
      <c r="O1367" s="14"/>
      <c r="P1367" s="15" t="s">
        <v>1726</v>
      </c>
      <c r="Q1367" s="16">
        <v>9199</v>
      </c>
      <c r="R1367" s="17">
        <v>40</v>
      </c>
      <c r="S1367" s="18">
        <v>6347.3099999999995</v>
      </c>
      <c r="T1367" s="19" t="s">
        <v>36</v>
      </c>
      <c r="U1367" s="20" t="s">
        <v>607</v>
      </c>
      <c r="V1367" s="28">
        <v>44.5</v>
      </c>
      <c r="W1367" s="22">
        <v>1</v>
      </c>
      <c r="X1367" s="23"/>
    </row>
    <row r="1368" spans="1:24" s="1" customFormat="1" ht="51.95" customHeight="1" x14ac:dyDescent="0.3">
      <c r="A1368" s="11" t="s">
        <v>23</v>
      </c>
      <c r="B1368" s="11" t="s">
        <v>1728</v>
      </c>
      <c r="C1368" s="12" t="s">
        <v>1729</v>
      </c>
      <c r="D1368" s="59"/>
      <c r="E1368" s="39" t="str">
        <f>HYPERLINK("https://www.google.ru/search?q=3028405-014&amp;newwindow=1&amp;tbm=isch","Еще фото")</f>
        <v>Еще фото</v>
      </c>
      <c r="F1368" s="13" t="s">
        <v>98</v>
      </c>
      <c r="G1368" s="11" t="s">
        <v>808</v>
      </c>
      <c r="H1368" s="11" t="s">
        <v>593</v>
      </c>
      <c r="I1368" s="14" t="s">
        <v>809</v>
      </c>
      <c r="J1368" s="14" t="s">
        <v>29</v>
      </c>
      <c r="K1368" s="15" t="s">
        <v>64</v>
      </c>
      <c r="L1368" s="56" t="s">
        <v>1730</v>
      </c>
      <c r="M1368" s="14"/>
      <c r="N1368" s="14" t="s">
        <v>84</v>
      </c>
      <c r="O1368" s="14"/>
      <c r="P1368" s="15" t="s">
        <v>1731</v>
      </c>
      <c r="Q1368" s="16">
        <v>10599</v>
      </c>
      <c r="R1368" s="17">
        <v>40</v>
      </c>
      <c r="S1368" s="18">
        <v>7313.3099999999986</v>
      </c>
      <c r="T1368" s="19" t="s">
        <v>36</v>
      </c>
      <c r="U1368" s="20" t="s">
        <v>814</v>
      </c>
      <c r="V1368" s="28">
        <v>36.5</v>
      </c>
      <c r="W1368" s="22">
        <v>1</v>
      </c>
      <c r="X1368" s="23"/>
    </row>
    <row r="1369" spans="1:24" s="1" customFormat="1" ht="60.95" customHeight="1" x14ac:dyDescent="0.3">
      <c r="A1369" s="24" t="s">
        <v>23</v>
      </c>
      <c r="B1369" s="24" t="s">
        <v>1728</v>
      </c>
      <c r="C1369" s="12" t="s">
        <v>1729</v>
      </c>
      <c r="D1369" s="60"/>
      <c r="E1369" s="39" t="str">
        <f>HYPERLINK("https://www.google.ru/search?q=3028405-014&amp;newwindow=1&amp;tbm=isch","Еще фото")</f>
        <v>Еще фото</v>
      </c>
      <c r="F1369" s="13" t="s">
        <v>98</v>
      </c>
      <c r="G1369" s="24" t="s">
        <v>808</v>
      </c>
      <c r="H1369" s="24" t="s">
        <v>593</v>
      </c>
      <c r="I1369" s="24" t="s">
        <v>809</v>
      </c>
      <c r="J1369" s="14" t="s">
        <v>29</v>
      </c>
      <c r="K1369" s="15" t="s">
        <v>64</v>
      </c>
      <c r="L1369" s="58"/>
      <c r="M1369" s="14"/>
      <c r="N1369" s="14" t="s">
        <v>84</v>
      </c>
      <c r="O1369" s="14"/>
      <c r="P1369" s="15" t="s">
        <v>1731</v>
      </c>
      <c r="Q1369" s="16">
        <v>10599</v>
      </c>
      <c r="R1369" s="17">
        <v>40</v>
      </c>
      <c r="S1369" s="18">
        <v>7313.3099999999986</v>
      </c>
      <c r="T1369" s="19" t="s">
        <v>36</v>
      </c>
      <c r="U1369" s="20" t="s">
        <v>598</v>
      </c>
      <c r="V1369" s="22">
        <v>37</v>
      </c>
      <c r="W1369" s="22">
        <v>2</v>
      </c>
      <c r="X1369" s="23"/>
    </row>
    <row r="1370" spans="1:24" s="1" customFormat="1" ht="51.95" customHeight="1" x14ac:dyDescent="0.3">
      <c r="A1370" s="11" t="s">
        <v>23</v>
      </c>
      <c r="B1370" s="11" t="s">
        <v>1728</v>
      </c>
      <c r="C1370" s="12" t="s">
        <v>1732</v>
      </c>
      <c r="D1370" s="59"/>
      <c r="E1370" s="39" t="str">
        <f>HYPERLINK("https://www.google.ru/search?q=3028405-104&amp;newwindow=1&amp;tbm=isch","Еще фото")</f>
        <v>Еще фото</v>
      </c>
      <c r="F1370" s="13"/>
      <c r="G1370" s="11" t="s">
        <v>808</v>
      </c>
      <c r="H1370" s="11" t="s">
        <v>593</v>
      </c>
      <c r="I1370" s="14" t="s">
        <v>809</v>
      </c>
      <c r="J1370" s="14" t="s">
        <v>29</v>
      </c>
      <c r="K1370" s="15" t="s">
        <v>64</v>
      </c>
      <c r="L1370" s="56" t="s">
        <v>1730</v>
      </c>
      <c r="M1370" s="14"/>
      <c r="N1370" s="14" t="s">
        <v>33</v>
      </c>
      <c r="O1370" s="14"/>
      <c r="P1370" s="15" t="s">
        <v>1733</v>
      </c>
      <c r="Q1370" s="16">
        <v>13999</v>
      </c>
      <c r="R1370" s="17">
        <v>40</v>
      </c>
      <c r="S1370" s="18">
        <v>9659.31</v>
      </c>
      <c r="T1370" s="19" t="s">
        <v>36</v>
      </c>
      <c r="U1370" s="20" t="s">
        <v>813</v>
      </c>
      <c r="V1370" s="28">
        <v>35.5</v>
      </c>
      <c r="W1370" s="22">
        <v>1</v>
      </c>
      <c r="X1370" s="23"/>
    </row>
    <row r="1371" spans="1:24" s="1" customFormat="1" ht="60.95" customHeight="1" x14ac:dyDescent="0.3">
      <c r="A1371" s="24" t="s">
        <v>23</v>
      </c>
      <c r="B1371" s="24" t="s">
        <v>1728</v>
      </c>
      <c r="C1371" s="12" t="s">
        <v>1732</v>
      </c>
      <c r="D1371" s="60"/>
      <c r="E1371" s="39" t="str">
        <f>HYPERLINK("https://www.google.ru/search?q=3028405-104&amp;newwindow=1&amp;tbm=isch","Еще фото")</f>
        <v>Еще фото</v>
      </c>
      <c r="F1371" s="13"/>
      <c r="G1371" s="24" t="s">
        <v>808</v>
      </c>
      <c r="H1371" s="24" t="s">
        <v>593</v>
      </c>
      <c r="I1371" s="24" t="s">
        <v>809</v>
      </c>
      <c r="J1371" s="14" t="s">
        <v>29</v>
      </c>
      <c r="K1371" s="15" t="s">
        <v>64</v>
      </c>
      <c r="L1371" s="58"/>
      <c r="M1371" s="14"/>
      <c r="N1371" s="14" t="s">
        <v>33</v>
      </c>
      <c r="O1371" s="14"/>
      <c r="P1371" s="15" t="s">
        <v>1733</v>
      </c>
      <c r="Q1371" s="16">
        <v>13999</v>
      </c>
      <c r="R1371" s="17">
        <v>40</v>
      </c>
      <c r="S1371" s="18">
        <v>9659.31</v>
      </c>
      <c r="T1371" s="19" t="s">
        <v>36</v>
      </c>
      <c r="U1371" s="20" t="s">
        <v>598</v>
      </c>
      <c r="V1371" s="22">
        <v>37</v>
      </c>
      <c r="W1371" s="22">
        <v>4</v>
      </c>
      <c r="X1371" s="23"/>
    </row>
    <row r="1372" spans="1:24" s="1" customFormat="1" ht="108" customHeight="1" x14ac:dyDescent="0.3">
      <c r="A1372" s="11" t="s">
        <v>23</v>
      </c>
      <c r="B1372" s="11" t="s">
        <v>1734</v>
      </c>
      <c r="C1372" s="12" t="s">
        <v>1735</v>
      </c>
      <c r="D1372" s="25"/>
      <c r="E1372" s="39" t="str">
        <f>HYPERLINK("https://www.google.ru/search?q=3028461-002&amp;newwindow=1&amp;tbm=isch","Еще фото")</f>
        <v>Еще фото</v>
      </c>
      <c r="F1372" s="13"/>
      <c r="G1372" s="11" t="s">
        <v>808</v>
      </c>
      <c r="H1372" s="11" t="s">
        <v>593</v>
      </c>
      <c r="I1372" s="14" t="s">
        <v>809</v>
      </c>
      <c r="J1372" s="14" t="s">
        <v>892</v>
      </c>
      <c r="K1372" s="15" t="s">
        <v>578</v>
      </c>
      <c r="L1372" s="14" t="s">
        <v>1736</v>
      </c>
      <c r="M1372" s="14"/>
      <c r="N1372" s="14" t="s">
        <v>33</v>
      </c>
      <c r="O1372" s="14"/>
      <c r="P1372" s="15" t="s">
        <v>1737</v>
      </c>
      <c r="Q1372" s="16">
        <v>17699</v>
      </c>
      <c r="R1372" s="17">
        <v>40</v>
      </c>
      <c r="S1372" s="18">
        <v>12212.31</v>
      </c>
      <c r="T1372" s="19" t="s">
        <v>36</v>
      </c>
      <c r="U1372" s="20" t="s">
        <v>875</v>
      </c>
      <c r="V1372" s="28">
        <v>41.5</v>
      </c>
      <c r="W1372" s="22">
        <v>2</v>
      </c>
      <c r="X1372" s="23"/>
    </row>
    <row r="1373" spans="1:24" s="1" customFormat="1" ht="21" customHeight="1" x14ac:dyDescent="0.3">
      <c r="A1373" s="11" t="s">
        <v>23</v>
      </c>
      <c r="B1373" s="11" t="s">
        <v>1734</v>
      </c>
      <c r="C1373" s="26" t="s">
        <v>1738</v>
      </c>
      <c r="D1373" s="53"/>
      <c r="E1373" s="39" t="str">
        <f>HYPERLINK("https://www.google.ru/search?q=3028461-100&amp;newwindow=1&amp;tbm=isch","Еще фото")</f>
        <v>Еще фото</v>
      </c>
      <c r="F1373" s="13"/>
      <c r="G1373" s="11" t="s">
        <v>808</v>
      </c>
      <c r="H1373" s="11" t="s">
        <v>593</v>
      </c>
      <c r="I1373" s="14" t="s">
        <v>809</v>
      </c>
      <c r="J1373" s="14" t="s">
        <v>892</v>
      </c>
      <c r="K1373" s="15" t="s">
        <v>578</v>
      </c>
      <c r="L1373" s="56" t="s">
        <v>1736</v>
      </c>
      <c r="M1373" s="14"/>
      <c r="N1373" s="14" t="s">
        <v>84</v>
      </c>
      <c r="O1373" s="14"/>
      <c r="P1373" s="15" t="s">
        <v>1737</v>
      </c>
      <c r="Q1373" s="16">
        <v>17699</v>
      </c>
      <c r="R1373" s="17">
        <v>40</v>
      </c>
      <c r="S1373" s="18">
        <v>12212.31</v>
      </c>
      <c r="T1373" s="19" t="s">
        <v>36</v>
      </c>
      <c r="U1373" s="20" t="s">
        <v>945</v>
      </c>
      <c r="V1373" s="22">
        <v>41</v>
      </c>
      <c r="W1373" s="22">
        <v>2</v>
      </c>
      <c r="X1373" s="23"/>
    </row>
    <row r="1374" spans="1:24" s="1" customFormat="1" ht="21" customHeight="1" x14ac:dyDescent="0.3">
      <c r="A1374" s="24" t="s">
        <v>23</v>
      </c>
      <c r="B1374" s="24" t="s">
        <v>1734</v>
      </c>
      <c r="C1374" s="27" t="s">
        <v>1738</v>
      </c>
      <c r="D1374" s="54"/>
      <c r="E1374" s="39" t="str">
        <f>HYPERLINK("https://www.google.ru/search?q=3028461-100&amp;newwindow=1&amp;tbm=isch","Еще фото")</f>
        <v>Еще фото</v>
      </c>
      <c r="F1374" s="13"/>
      <c r="G1374" s="24" t="s">
        <v>808</v>
      </c>
      <c r="H1374" s="24" t="s">
        <v>593</v>
      </c>
      <c r="I1374" s="24" t="s">
        <v>809</v>
      </c>
      <c r="J1374" s="14" t="s">
        <v>892</v>
      </c>
      <c r="K1374" s="15" t="s">
        <v>578</v>
      </c>
      <c r="L1374" s="57"/>
      <c r="M1374" s="14"/>
      <c r="N1374" s="14" t="s">
        <v>84</v>
      </c>
      <c r="O1374" s="14"/>
      <c r="P1374" s="15" t="s">
        <v>1737</v>
      </c>
      <c r="Q1374" s="16">
        <v>17699</v>
      </c>
      <c r="R1374" s="17">
        <v>40</v>
      </c>
      <c r="S1374" s="18">
        <v>12212.31</v>
      </c>
      <c r="T1374" s="19" t="s">
        <v>36</v>
      </c>
      <c r="U1374" s="20" t="s">
        <v>875</v>
      </c>
      <c r="V1374" s="28">
        <v>41.5</v>
      </c>
      <c r="W1374" s="22">
        <v>4</v>
      </c>
      <c r="X1374" s="23"/>
    </row>
    <row r="1375" spans="1:24" s="1" customFormat="1" ht="21" customHeight="1" x14ac:dyDescent="0.3">
      <c r="A1375" s="24" t="s">
        <v>23</v>
      </c>
      <c r="B1375" s="24" t="s">
        <v>1734</v>
      </c>
      <c r="C1375" s="27" t="s">
        <v>1738</v>
      </c>
      <c r="D1375" s="54"/>
      <c r="E1375" s="39" t="str">
        <f>HYPERLINK("https://www.google.ru/search?q=3028461-100&amp;newwindow=1&amp;tbm=isch","Еще фото")</f>
        <v>Еще фото</v>
      </c>
      <c r="F1375" s="13"/>
      <c r="G1375" s="24" t="s">
        <v>808</v>
      </c>
      <c r="H1375" s="24" t="s">
        <v>593</v>
      </c>
      <c r="I1375" s="24" t="s">
        <v>809</v>
      </c>
      <c r="J1375" s="14" t="s">
        <v>892</v>
      </c>
      <c r="K1375" s="15" t="s">
        <v>578</v>
      </c>
      <c r="L1375" s="57"/>
      <c r="M1375" s="14"/>
      <c r="N1375" s="14" t="s">
        <v>84</v>
      </c>
      <c r="O1375" s="14"/>
      <c r="P1375" s="15" t="s">
        <v>1737</v>
      </c>
      <c r="Q1375" s="16">
        <v>17699</v>
      </c>
      <c r="R1375" s="17">
        <v>40</v>
      </c>
      <c r="S1375" s="18">
        <v>12212.31</v>
      </c>
      <c r="T1375" s="19" t="s">
        <v>36</v>
      </c>
      <c r="U1375" s="20" t="s">
        <v>876</v>
      </c>
      <c r="V1375" s="22">
        <v>42</v>
      </c>
      <c r="W1375" s="22">
        <v>2</v>
      </c>
      <c r="X1375" s="23"/>
    </row>
    <row r="1376" spans="1:24" s="1" customFormat="1" ht="21" customHeight="1" x14ac:dyDescent="0.3">
      <c r="A1376" s="24" t="s">
        <v>23</v>
      </c>
      <c r="B1376" s="24" t="s">
        <v>1734</v>
      </c>
      <c r="C1376" s="27" t="s">
        <v>1738</v>
      </c>
      <c r="D1376" s="54"/>
      <c r="E1376" s="39" t="str">
        <f>HYPERLINK("https://www.google.ru/search?q=3028461-100&amp;newwindow=1&amp;tbm=isch","Еще фото")</f>
        <v>Еще фото</v>
      </c>
      <c r="F1376" s="13"/>
      <c r="G1376" s="24" t="s">
        <v>808</v>
      </c>
      <c r="H1376" s="24" t="s">
        <v>593</v>
      </c>
      <c r="I1376" s="24" t="s">
        <v>809</v>
      </c>
      <c r="J1376" s="14" t="s">
        <v>892</v>
      </c>
      <c r="K1376" s="15" t="s">
        <v>578</v>
      </c>
      <c r="L1376" s="57"/>
      <c r="M1376" s="14"/>
      <c r="N1376" s="14" t="s">
        <v>84</v>
      </c>
      <c r="O1376" s="14"/>
      <c r="P1376" s="15" t="s">
        <v>1737</v>
      </c>
      <c r="Q1376" s="16">
        <v>17699</v>
      </c>
      <c r="R1376" s="17">
        <v>40</v>
      </c>
      <c r="S1376" s="18">
        <v>12212.31</v>
      </c>
      <c r="T1376" s="19" t="s">
        <v>36</v>
      </c>
      <c r="U1376" s="20" t="s">
        <v>877</v>
      </c>
      <c r="V1376" s="22">
        <v>43</v>
      </c>
      <c r="W1376" s="22">
        <v>2</v>
      </c>
      <c r="X1376" s="23"/>
    </row>
    <row r="1377" spans="1:24" s="1" customFormat="1" ht="32.1" customHeight="1" x14ac:dyDescent="0.3">
      <c r="A1377" s="24" t="s">
        <v>23</v>
      </c>
      <c r="B1377" s="24" t="s">
        <v>1734</v>
      </c>
      <c r="C1377" s="27" t="s">
        <v>1738</v>
      </c>
      <c r="D1377" s="55"/>
      <c r="E1377" s="39" t="str">
        <f>HYPERLINK("https://www.google.ru/search?q=3028461-100&amp;newwindow=1&amp;tbm=isch","Еще фото")</f>
        <v>Еще фото</v>
      </c>
      <c r="F1377" s="13"/>
      <c r="G1377" s="24" t="s">
        <v>808</v>
      </c>
      <c r="H1377" s="24" t="s">
        <v>593</v>
      </c>
      <c r="I1377" s="24" t="s">
        <v>809</v>
      </c>
      <c r="J1377" s="14" t="s">
        <v>892</v>
      </c>
      <c r="K1377" s="15" t="s">
        <v>578</v>
      </c>
      <c r="L1377" s="58"/>
      <c r="M1377" s="14"/>
      <c r="N1377" s="14" t="s">
        <v>84</v>
      </c>
      <c r="O1377" s="14"/>
      <c r="P1377" s="15" t="s">
        <v>1737</v>
      </c>
      <c r="Q1377" s="16">
        <v>17699</v>
      </c>
      <c r="R1377" s="17">
        <v>40</v>
      </c>
      <c r="S1377" s="18">
        <v>12212.31</v>
      </c>
      <c r="T1377" s="19" t="s">
        <v>36</v>
      </c>
      <c r="U1377" s="20" t="s">
        <v>878</v>
      </c>
      <c r="V1377" s="28">
        <v>43.5</v>
      </c>
      <c r="W1377" s="22">
        <v>2</v>
      </c>
      <c r="X1377" s="23"/>
    </row>
    <row r="1378" spans="1:24" s="1" customFormat="1" ht="51.95" customHeight="1" x14ac:dyDescent="0.3">
      <c r="A1378" s="11" t="s">
        <v>23</v>
      </c>
      <c r="B1378" s="11" t="s">
        <v>971</v>
      </c>
      <c r="C1378" s="12" t="s">
        <v>1739</v>
      </c>
      <c r="D1378" s="59"/>
      <c r="E1378" s="39" t="str">
        <f>HYPERLINK("https://www.google.ru/search?q=3028512-300&amp;newwindow=1&amp;tbm=isch","Еще фото")</f>
        <v>Еще фото</v>
      </c>
      <c r="F1378" s="13"/>
      <c r="G1378" s="11" t="s">
        <v>808</v>
      </c>
      <c r="H1378" s="11" t="s">
        <v>593</v>
      </c>
      <c r="I1378" s="14" t="s">
        <v>809</v>
      </c>
      <c r="J1378" s="14" t="s">
        <v>892</v>
      </c>
      <c r="K1378" s="15" t="s">
        <v>578</v>
      </c>
      <c r="L1378" s="56" t="s">
        <v>973</v>
      </c>
      <c r="M1378" s="14"/>
      <c r="N1378" s="14" t="s">
        <v>125</v>
      </c>
      <c r="O1378" s="14"/>
      <c r="P1378" s="15" t="s">
        <v>1740</v>
      </c>
      <c r="Q1378" s="16">
        <v>12199</v>
      </c>
      <c r="R1378" s="17">
        <v>40</v>
      </c>
      <c r="S1378" s="18">
        <v>8417.31</v>
      </c>
      <c r="T1378" s="19" t="s">
        <v>36</v>
      </c>
      <c r="U1378" s="20" t="s">
        <v>878</v>
      </c>
      <c r="V1378" s="28">
        <v>43.5</v>
      </c>
      <c r="W1378" s="22">
        <v>2</v>
      </c>
      <c r="X1378" s="23"/>
    </row>
    <row r="1379" spans="1:24" s="1" customFormat="1" ht="60.95" customHeight="1" x14ac:dyDescent="0.3">
      <c r="A1379" s="24" t="s">
        <v>23</v>
      </c>
      <c r="B1379" s="24" t="s">
        <v>971</v>
      </c>
      <c r="C1379" s="12" t="s">
        <v>1739</v>
      </c>
      <c r="D1379" s="60"/>
      <c r="E1379" s="39" t="str">
        <f>HYPERLINK("https://www.google.ru/search?q=3028512-300&amp;newwindow=1&amp;tbm=isch","Еще фото")</f>
        <v>Еще фото</v>
      </c>
      <c r="F1379" s="13"/>
      <c r="G1379" s="24" t="s">
        <v>808</v>
      </c>
      <c r="H1379" s="24" t="s">
        <v>593</v>
      </c>
      <c r="I1379" s="24" t="s">
        <v>809</v>
      </c>
      <c r="J1379" s="14" t="s">
        <v>892</v>
      </c>
      <c r="K1379" s="15" t="s">
        <v>578</v>
      </c>
      <c r="L1379" s="58"/>
      <c r="M1379" s="14"/>
      <c r="N1379" s="14" t="s">
        <v>125</v>
      </c>
      <c r="O1379" s="14"/>
      <c r="P1379" s="15" t="s">
        <v>1740</v>
      </c>
      <c r="Q1379" s="16">
        <v>12199</v>
      </c>
      <c r="R1379" s="17">
        <v>40</v>
      </c>
      <c r="S1379" s="18">
        <v>8417.31</v>
      </c>
      <c r="T1379" s="19" t="s">
        <v>36</v>
      </c>
      <c r="U1379" s="20" t="s">
        <v>879</v>
      </c>
      <c r="V1379" s="22">
        <v>44</v>
      </c>
      <c r="W1379" s="22">
        <v>2</v>
      </c>
      <c r="X1379" s="23"/>
    </row>
    <row r="1380" spans="1:24" s="1" customFormat="1" ht="35.1" customHeight="1" x14ac:dyDescent="0.3">
      <c r="A1380" s="11" t="s">
        <v>23</v>
      </c>
      <c r="B1380" s="11" t="s">
        <v>971</v>
      </c>
      <c r="C1380" s="12" t="s">
        <v>1741</v>
      </c>
      <c r="D1380" s="53"/>
      <c r="E1380" s="39" t="str">
        <f>HYPERLINK("https://www.google.ru/search?q=3028512-426&amp;newwindow=1&amp;tbm=isch","Еще фото")</f>
        <v>Еще фото</v>
      </c>
      <c r="F1380" s="13"/>
      <c r="G1380" s="11" t="s">
        <v>808</v>
      </c>
      <c r="H1380" s="11" t="s">
        <v>593</v>
      </c>
      <c r="I1380" s="14" t="s">
        <v>809</v>
      </c>
      <c r="J1380" s="14" t="s">
        <v>892</v>
      </c>
      <c r="K1380" s="15" t="s">
        <v>578</v>
      </c>
      <c r="L1380" s="56" t="s">
        <v>973</v>
      </c>
      <c r="M1380" s="14"/>
      <c r="N1380" s="14" t="s">
        <v>91</v>
      </c>
      <c r="O1380" s="14"/>
      <c r="P1380" s="15" t="s">
        <v>1742</v>
      </c>
      <c r="Q1380" s="16">
        <v>9599</v>
      </c>
      <c r="R1380" s="17">
        <v>40</v>
      </c>
      <c r="S1380" s="18">
        <v>6623.3099999999995</v>
      </c>
      <c r="T1380" s="19" t="s">
        <v>36</v>
      </c>
      <c r="U1380" s="20" t="s">
        <v>875</v>
      </c>
      <c r="V1380" s="28">
        <v>41.5</v>
      </c>
      <c r="W1380" s="22">
        <v>1</v>
      </c>
      <c r="X1380" s="23"/>
    </row>
    <row r="1381" spans="1:24" s="1" customFormat="1" ht="35.1" customHeight="1" x14ac:dyDescent="0.3">
      <c r="A1381" s="24" t="s">
        <v>23</v>
      </c>
      <c r="B1381" s="24" t="s">
        <v>971</v>
      </c>
      <c r="C1381" s="12" t="s">
        <v>1741</v>
      </c>
      <c r="D1381" s="54"/>
      <c r="E1381" s="39" t="str">
        <f>HYPERLINK("https://www.google.ru/search?q=3028512-426&amp;newwindow=1&amp;tbm=isch","Еще фото")</f>
        <v>Еще фото</v>
      </c>
      <c r="F1381" s="13"/>
      <c r="G1381" s="24" t="s">
        <v>808</v>
      </c>
      <c r="H1381" s="24" t="s">
        <v>593</v>
      </c>
      <c r="I1381" s="24" t="s">
        <v>809</v>
      </c>
      <c r="J1381" s="14" t="s">
        <v>892</v>
      </c>
      <c r="K1381" s="15" t="s">
        <v>578</v>
      </c>
      <c r="L1381" s="57"/>
      <c r="M1381" s="14"/>
      <c r="N1381" s="14" t="s">
        <v>91</v>
      </c>
      <c r="O1381" s="14"/>
      <c r="P1381" s="15" t="s">
        <v>1742</v>
      </c>
      <c r="Q1381" s="16">
        <v>9599</v>
      </c>
      <c r="R1381" s="17">
        <v>40</v>
      </c>
      <c r="S1381" s="18">
        <v>6623.3099999999995</v>
      </c>
      <c r="T1381" s="19" t="s">
        <v>36</v>
      </c>
      <c r="U1381" s="20" t="s">
        <v>876</v>
      </c>
      <c r="V1381" s="22">
        <v>42</v>
      </c>
      <c r="W1381" s="22">
        <v>1</v>
      </c>
      <c r="X1381" s="23"/>
    </row>
    <row r="1382" spans="1:24" s="1" customFormat="1" ht="36.950000000000003" customHeight="1" x14ac:dyDescent="0.3">
      <c r="A1382" s="24" t="s">
        <v>23</v>
      </c>
      <c r="B1382" s="24" t="s">
        <v>971</v>
      </c>
      <c r="C1382" s="12" t="s">
        <v>1741</v>
      </c>
      <c r="D1382" s="55"/>
      <c r="E1382" s="39" t="str">
        <f>HYPERLINK("https://www.google.ru/search?q=3028512-426&amp;newwindow=1&amp;tbm=isch","Еще фото")</f>
        <v>Еще фото</v>
      </c>
      <c r="F1382" s="13"/>
      <c r="G1382" s="24" t="s">
        <v>808</v>
      </c>
      <c r="H1382" s="24" t="s">
        <v>593</v>
      </c>
      <c r="I1382" s="24" t="s">
        <v>809</v>
      </c>
      <c r="J1382" s="14" t="s">
        <v>892</v>
      </c>
      <c r="K1382" s="15" t="s">
        <v>578</v>
      </c>
      <c r="L1382" s="58"/>
      <c r="M1382" s="14"/>
      <c r="N1382" s="14" t="s">
        <v>91</v>
      </c>
      <c r="O1382" s="14"/>
      <c r="P1382" s="15" t="s">
        <v>1742</v>
      </c>
      <c r="Q1382" s="16">
        <v>9599</v>
      </c>
      <c r="R1382" s="17">
        <v>40</v>
      </c>
      <c r="S1382" s="18">
        <v>6623.3099999999995</v>
      </c>
      <c r="T1382" s="19" t="s">
        <v>36</v>
      </c>
      <c r="U1382" s="20" t="s">
        <v>878</v>
      </c>
      <c r="V1382" s="28">
        <v>43.5</v>
      </c>
      <c r="W1382" s="22">
        <v>1</v>
      </c>
      <c r="X1382" s="23"/>
    </row>
    <row r="1383" spans="1:24" s="1" customFormat="1" ht="14.1" customHeight="1" x14ac:dyDescent="0.3">
      <c r="A1383" s="11" t="s">
        <v>23</v>
      </c>
      <c r="B1383" s="11" t="s">
        <v>971</v>
      </c>
      <c r="C1383" s="12" t="s">
        <v>1743</v>
      </c>
      <c r="D1383" s="53"/>
      <c r="E1383" s="39" t="str">
        <f t="shared" ref="E1383:E1389" si="32">HYPERLINK("https://www.google.ru/search?q=3028512-600&amp;newwindow=1&amp;tbm=isch","Еще фото")</f>
        <v>Еще фото</v>
      </c>
      <c r="F1383" s="13" t="s">
        <v>98</v>
      </c>
      <c r="G1383" s="11" t="s">
        <v>808</v>
      </c>
      <c r="H1383" s="11" t="s">
        <v>593</v>
      </c>
      <c r="I1383" s="14" t="s">
        <v>809</v>
      </c>
      <c r="J1383" s="14" t="s">
        <v>892</v>
      </c>
      <c r="K1383" s="15" t="s">
        <v>578</v>
      </c>
      <c r="L1383" s="56" t="s">
        <v>973</v>
      </c>
      <c r="M1383" s="14"/>
      <c r="N1383" s="14" t="s">
        <v>140</v>
      </c>
      <c r="O1383" s="14"/>
      <c r="P1383" s="15" t="s">
        <v>1121</v>
      </c>
      <c r="Q1383" s="16">
        <v>9599</v>
      </c>
      <c r="R1383" s="17">
        <v>40</v>
      </c>
      <c r="S1383" s="18">
        <v>6623.3099999999995</v>
      </c>
      <c r="T1383" s="19" t="s">
        <v>36</v>
      </c>
      <c r="U1383" s="20" t="s">
        <v>945</v>
      </c>
      <c r="V1383" s="22">
        <v>41</v>
      </c>
      <c r="W1383" s="22">
        <v>24</v>
      </c>
      <c r="X1383" s="23"/>
    </row>
    <row r="1384" spans="1:24" s="1" customFormat="1" ht="14.1" customHeight="1" x14ac:dyDescent="0.3">
      <c r="A1384" s="24" t="s">
        <v>23</v>
      </c>
      <c r="B1384" s="24" t="s">
        <v>971</v>
      </c>
      <c r="C1384" s="12" t="s">
        <v>1743</v>
      </c>
      <c r="D1384" s="54"/>
      <c r="E1384" s="39" t="str">
        <f t="shared" si="32"/>
        <v>Еще фото</v>
      </c>
      <c r="F1384" s="13" t="s">
        <v>98</v>
      </c>
      <c r="G1384" s="24" t="s">
        <v>808</v>
      </c>
      <c r="H1384" s="24" t="s">
        <v>593</v>
      </c>
      <c r="I1384" s="24" t="s">
        <v>809</v>
      </c>
      <c r="J1384" s="14" t="s">
        <v>892</v>
      </c>
      <c r="K1384" s="15" t="s">
        <v>578</v>
      </c>
      <c r="L1384" s="57"/>
      <c r="M1384" s="14"/>
      <c r="N1384" s="14" t="s">
        <v>140</v>
      </c>
      <c r="O1384" s="14"/>
      <c r="P1384" s="15" t="s">
        <v>1121</v>
      </c>
      <c r="Q1384" s="16">
        <v>9599</v>
      </c>
      <c r="R1384" s="17">
        <v>40</v>
      </c>
      <c r="S1384" s="18">
        <v>6623.3099999999995</v>
      </c>
      <c r="T1384" s="19" t="s">
        <v>36</v>
      </c>
      <c r="U1384" s="20" t="s">
        <v>875</v>
      </c>
      <c r="V1384" s="28">
        <v>41.5</v>
      </c>
      <c r="W1384" s="22">
        <v>7</v>
      </c>
      <c r="X1384" s="23"/>
    </row>
    <row r="1385" spans="1:24" s="1" customFormat="1" ht="14.1" customHeight="1" x14ac:dyDescent="0.3">
      <c r="A1385" s="24" t="s">
        <v>23</v>
      </c>
      <c r="B1385" s="24" t="s">
        <v>971</v>
      </c>
      <c r="C1385" s="12" t="s">
        <v>1743</v>
      </c>
      <c r="D1385" s="54"/>
      <c r="E1385" s="39" t="str">
        <f t="shared" si="32"/>
        <v>Еще фото</v>
      </c>
      <c r="F1385" s="13" t="s">
        <v>98</v>
      </c>
      <c r="G1385" s="24" t="s">
        <v>808</v>
      </c>
      <c r="H1385" s="24" t="s">
        <v>593</v>
      </c>
      <c r="I1385" s="24" t="s">
        <v>809</v>
      </c>
      <c r="J1385" s="14" t="s">
        <v>892</v>
      </c>
      <c r="K1385" s="15" t="s">
        <v>578</v>
      </c>
      <c r="L1385" s="57"/>
      <c r="M1385" s="14"/>
      <c r="N1385" s="14" t="s">
        <v>140</v>
      </c>
      <c r="O1385" s="14"/>
      <c r="P1385" s="15" t="s">
        <v>1121</v>
      </c>
      <c r="Q1385" s="16">
        <v>9599</v>
      </c>
      <c r="R1385" s="17">
        <v>40</v>
      </c>
      <c r="S1385" s="18">
        <v>6623.3099999999995</v>
      </c>
      <c r="T1385" s="19" t="s">
        <v>36</v>
      </c>
      <c r="U1385" s="20" t="s">
        <v>876</v>
      </c>
      <c r="V1385" s="22">
        <v>42</v>
      </c>
      <c r="W1385" s="22">
        <v>14</v>
      </c>
      <c r="X1385" s="23"/>
    </row>
    <row r="1386" spans="1:24" s="1" customFormat="1" ht="14.1" customHeight="1" x14ac:dyDescent="0.3">
      <c r="A1386" s="24" t="s">
        <v>23</v>
      </c>
      <c r="B1386" s="24" t="s">
        <v>971</v>
      </c>
      <c r="C1386" s="12" t="s">
        <v>1743</v>
      </c>
      <c r="D1386" s="54"/>
      <c r="E1386" s="39" t="str">
        <f t="shared" si="32"/>
        <v>Еще фото</v>
      </c>
      <c r="F1386" s="13" t="s">
        <v>98</v>
      </c>
      <c r="G1386" s="24" t="s">
        <v>808</v>
      </c>
      <c r="H1386" s="24" t="s">
        <v>593</v>
      </c>
      <c r="I1386" s="24" t="s">
        <v>809</v>
      </c>
      <c r="J1386" s="14" t="s">
        <v>892</v>
      </c>
      <c r="K1386" s="15" t="s">
        <v>578</v>
      </c>
      <c r="L1386" s="57"/>
      <c r="M1386" s="14"/>
      <c r="N1386" s="14" t="s">
        <v>140</v>
      </c>
      <c r="O1386" s="14"/>
      <c r="P1386" s="15" t="s">
        <v>1121</v>
      </c>
      <c r="Q1386" s="16">
        <v>9599</v>
      </c>
      <c r="R1386" s="17">
        <v>40</v>
      </c>
      <c r="S1386" s="18">
        <v>6623.3099999999995</v>
      </c>
      <c r="T1386" s="19" t="s">
        <v>36</v>
      </c>
      <c r="U1386" s="20" t="s">
        <v>877</v>
      </c>
      <c r="V1386" s="22">
        <v>43</v>
      </c>
      <c r="W1386" s="22">
        <v>1</v>
      </c>
      <c r="X1386" s="23"/>
    </row>
    <row r="1387" spans="1:24" s="1" customFormat="1" ht="14.1" customHeight="1" x14ac:dyDescent="0.3">
      <c r="A1387" s="24" t="s">
        <v>23</v>
      </c>
      <c r="B1387" s="24" t="s">
        <v>971</v>
      </c>
      <c r="C1387" s="12" t="s">
        <v>1743</v>
      </c>
      <c r="D1387" s="54"/>
      <c r="E1387" s="39" t="str">
        <f t="shared" si="32"/>
        <v>Еще фото</v>
      </c>
      <c r="F1387" s="13" t="s">
        <v>98</v>
      </c>
      <c r="G1387" s="24" t="s">
        <v>808</v>
      </c>
      <c r="H1387" s="24" t="s">
        <v>593</v>
      </c>
      <c r="I1387" s="24" t="s">
        <v>809</v>
      </c>
      <c r="J1387" s="14" t="s">
        <v>892</v>
      </c>
      <c r="K1387" s="15" t="s">
        <v>578</v>
      </c>
      <c r="L1387" s="57"/>
      <c r="M1387" s="14"/>
      <c r="N1387" s="14" t="s">
        <v>140</v>
      </c>
      <c r="O1387" s="14"/>
      <c r="P1387" s="15" t="s">
        <v>1121</v>
      </c>
      <c r="Q1387" s="16">
        <v>9599</v>
      </c>
      <c r="R1387" s="17">
        <v>40</v>
      </c>
      <c r="S1387" s="18">
        <v>6623.3099999999995</v>
      </c>
      <c r="T1387" s="19" t="s">
        <v>36</v>
      </c>
      <c r="U1387" s="20" t="s">
        <v>878</v>
      </c>
      <c r="V1387" s="28">
        <v>43.5</v>
      </c>
      <c r="W1387" s="22">
        <v>11</v>
      </c>
      <c r="X1387" s="23"/>
    </row>
    <row r="1388" spans="1:24" s="1" customFormat="1" ht="14.1" customHeight="1" x14ac:dyDescent="0.3">
      <c r="A1388" s="24" t="s">
        <v>23</v>
      </c>
      <c r="B1388" s="24" t="s">
        <v>971</v>
      </c>
      <c r="C1388" s="12" t="s">
        <v>1743</v>
      </c>
      <c r="D1388" s="54"/>
      <c r="E1388" s="39" t="str">
        <f t="shared" si="32"/>
        <v>Еще фото</v>
      </c>
      <c r="F1388" s="13" t="s">
        <v>98</v>
      </c>
      <c r="G1388" s="24" t="s">
        <v>808</v>
      </c>
      <c r="H1388" s="24" t="s">
        <v>593</v>
      </c>
      <c r="I1388" s="24" t="s">
        <v>809</v>
      </c>
      <c r="J1388" s="14" t="s">
        <v>892</v>
      </c>
      <c r="K1388" s="15" t="s">
        <v>578</v>
      </c>
      <c r="L1388" s="57"/>
      <c r="M1388" s="14"/>
      <c r="N1388" s="14" t="s">
        <v>140</v>
      </c>
      <c r="O1388" s="14"/>
      <c r="P1388" s="15" t="s">
        <v>1121</v>
      </c>
      <c r="Q1388" s="16">
        <v>9599</v>
      </c>
      <c r="R1388" s="17">
        <v>40</v>
      </c>
      <c r="S1388" s="18">
        <v>6623.3099999999995</v>
      </c>
      <c r="T1388" s="19" t="s">
        <v>36</v>
      </c>
      <c r="U1388" s="20" t="s">
        <v>879</v>
      </c>
      <c r="V1388" s="22">
        <v>44</v>
      </c>
      <c r="W1388" s="22">
        <v>3</v>
      </c>
      <c r="X1388" s="23"/>
    </row>
    <row r="1389" spans="1:24" s="1" customFormat="1" ht="17.100000000000001" customHeight="1" x14ac:dyDescent="0.3">
      <c r="A1389" s="24" t="s">
        <v>23</v>
      </c>
      <c r="B1389" s="24" t="s">
        <v>971</v>
      </c>
      <c r="C1389" s="12" t="s">
        <v>1743</v>
      </c>
      <c r="D1389" s="55"/>
      <c r="E1389" s="39" t="str">
        <f t="shared" si="32"/>
        <v>Еще фото</v>
      </c>
      <c r="F1389" s="13" t="s">
        <v>98</v>
      </c>
      <c r="G1389" s="24" t="s">
        <v>808</v>
      </c>
      <c r="H1389" s="24" t="s">
        <v>593</v>
      </c>
      <c r="I1389" s="24" t="s">
        <v>809</v>
      </c>
      <c r="J1389" s="14" t="s">
        <v>892</v>
      </c>
      <c r="K1389" s="15" t="s">
        <v>578</v>
      </c>
      <c r="L1389" s="58"/>
      <c r="M1389" s="14"/>
      <c r="N1389" s="14" t="s">
        <v>140</v>
      </c>
      <c r="O1389" s="14"/>
      <c r="P1389" s="15" t="s">
        <v>1121</v>
      </c>
      <c r="Q1389" s="16">
        <v>9599</v>
      </c>
      <c r="R1389" s="17">
        <v>40</v>
      </c>
      <c r="S1389" s="18">
        <v>6623.3099999999995</v>
      </c>
      <c r="T1389" s="19" t="s">
        <v>36</v>
      </c>
      <c r="U1389" s="20" t="s">
        <v>880</v>
      </c>
      <c r="V1389" s="28">
        <v>44.5</v>
      </c>
      <c r="W1389" s="22">
        <v>2</v>
      </c>
      <c r="X1389" s="23"/>
    </row>
    <row r="1390" spans="1:24" s="1" customFormat="1" ht="17.100000000000001" customHeight="1" x14ac:dyDescent="0.3">
      <c r="A1390" s="11" t="s">
        <v>23</v>
      </c>
      <c r="B1390" s="11" t="s">
        <v>1744</v>
      </c>
      <c r="C1390" s="12" t="s">
        <v>1745</v>
      </c>
      <c r="D1390" s="53"/>
      <c r="E1390" s="39" t="str">
        <f t="shared" ref="E1390:E1395" si="33">HYPERLINK("https://www.google.ru/search?q=3028569-100&amp;newwindow=1&amp;tbm=isch","Еще фото")</f>
        <v>Еще фото</v>
      </c>
      <c r="F1390" s="13" t="s">
        <v>98</v>
      </c>
      <c r="G1390" s="11" t="s">
        <v>808</v>
      </c>
      <c r="H1390" s="11" t="s">
        <v>593</v>
      </c>
      <c r="I1390" s="14" t="s">
        <v>809</v>
      </c>
      <c r="J1390" s="14" t="s">
        <v>29</v>
      </c>
      <c r="K1390" s="15" t="s">
        <v>64</v>
      </c>
      <c r="L1390" s="56" t="s">
        <v>1746</v>
      </c>
      <c r="M1390" s="14"/>
      <c r="N1390" s="14" t="s">
        <v>74</v>
      </c>
      <c r="O1390" s="14"/>
      <c r="P1390" s="15" t="s">
        <v>1726</v>
      </c>
      <c r="Q1390" s="16">
        <v>8899</v>
      </c>
      <c r="R1390" s="17">
        <v>40</v>
      </c>
      <c r="S1390" s="18">
        <v>6140.3099999999995</v>
      </c>
      <c r="T1390" s="19" t="s">
        <v>36</v>
      </c>
      <c r="U1390" s="20" t="s">
        <v>820</v>
      </c>
      <c r="V1390" s="22">
        <v>36</v>
      </c>
      <c r="W1390" s="22">
        <v>3</v>
      </c>
      <c r="X1390" s="23"/>
    </row>
    <row r="1391" spans="1:24" s="1" customFormat="1" ht="17.100000000000001" customHeight="1" x14ac:dyDescent="0.3">
      <c r="A1391" s="24" t="s">
        <v>23</v>
      </c>
      <c r="B1391" s="24" t="s">
        <v>1744</v>
      </c>
      <c r="C1391" s="12" t="s">
        <v>1745</v>
      </c>
      <c r="D1391" s="54"/>
      <c r="E1391" s="39" t="str">
        <f t="shared" si="33"/>
        <v>Еще фото</v>
      </c>
      <c r="F1391" s="13" t="s">
        <v>98</v>
      </c>
      <c r="G1391" s="24" t="s">
        <v>808</v>
      </c>
      <c r="H1391" s="24" t="s">
        <v>593</v>
      </c>
      <c r="I1391" s="24" t="s">
        <v>809</v>
      </c>
      <c r="J1391" s="14" t="s">
        <v>29</v>
      </c>
      <c r="K1391" s="15" t="s">
        <v>64</v>
      </c>
      <c r="L1391" s="57"/>
      <c r="M1391" s="14"/>
      <c r="N1391" s="14" t="s">
        <v>74</v>
      </c>
      <c r="O1391" s="14"/>
      <c r="P1391" s="15" t="s">
        <v>1726</v>
      </c>
      <c r="Q1391" s="16">
        <v>8899</v>
      </c>
      <c r="R1391" s="17">
        <v>40</v>
      </c>
      <c r="S1391" s="18">
        <v>6140.3099999999995</v>
      </c>
      <c r="T1391" s="19" t="s">
        <v>36</v>
      </c>
      <c r="U1391" s="20" t="s">
        <v>814</v>
      </c>
      <c r="V1391" s="28">
        <v>36.5</v>
      </c>
      <c r="W1391" s="22">
        <v>9</v>
      </c>
      <c r="X1391" s="23"/>
    </row>
    <row r="1392" spans="1:24" s="1" customFormat="1" ht="17.100000000000001" customHeight="1" x14ac:dyDescent="0.3">
      <c r="A1392" s="24" t="s">
        <v>23</v>
      </c>
      <c r="B1392" s="24" t="s">
        <v>1744</v>
      </c>
      <c r="C1392" s="12" t="s">
        <v>1745</v>
      </c>
      <c r="D1392" s="54"/>
      <c r="E1392" s="39" t="str">
        <f t="shared" si="33"/>
        <v>Еще фото</v>
      </c>
      <c r="F1392" s="13" t="s">
        <v>98</v>
      </c>
      <c r="G1392" s="24" t="s">
        <v>808</v>
      </c>
      <c r="H1392" s="24" t="s">
        <v>593</v>
      </c>
      <c r="I1392" s="24" t="s">
        <v>809</v>
      </c>
      <c r="J1392" s="14" t="s">
        <v>29</v>
      </c>
      <c r="K1392" s="15" t="s">
        <v>64</v>
      </c>
      <c r="L1392" s="57"/>
      <c r="M1392" s="14"/>
      <c r="N1392" s="14" t="s">
        <v>74</v>
      </c>
      <c r="O1392" s="14"/>
      <c r="P1392" s="15" t="s">
        <v>1726</v>
      </c>
      <c r="Q1392" s="16">
        <v>8899</v>
      </c>
      <c r="R1392" s="17">
        <v>40</v>
      </c>
      <c r="S1392" s="18">
        <v>6140.3099999999995</v>
      </c>
      <c r="T1392" s="19" t="s">
        <v>36</v>
      </c>
      <c r="U1392" s="20" t="s">
        <v>598</v>
      </c>
      <c r="V1392" s="22">
        <v>37</v>
      </c>
      <c r="W1392" s="22">
        <v>9</v>
      </c>
      <c r="X1392" s="23"/>
    </row>
    <row r="1393" spans="1:24" s="1" customFormat="1" ht="17.100000000000001" customHeight="1" x14ac:dyDescent="0.3">
      <c r="A1393" s="24" t="s">
        <v>23</v>
      </c>
      <c r="B1393" s="24" t="s">
        <v>1744</v>
      </c>
      <c r="C1393" s="12" t="s">
        <v>1745</v>
      </c>
      <c r="D1393" s="54"/>
      <c r="E1393" s="39" t="str">
        <f t="shared" si="33"/>
        <v>Еще фото</v>
      </c>
      <c r="F1393" s="13" t="s">
        <v>98</v>
      </c>
      <c r="G1393" s="24" t="s">
        <v>808</v>
      </c>
      <c r="H1393" s="24" t="s">
        <v>593</v>
      </c>
      <c r="I1393" s="24" t="s">
        <v>809</v>
      </c>
      <c r="J1393" s="14" t="s">
        <v>29</v>
      </c>
      <c r="K1393" s="15" t="s">
        <v>64</v>
      </c>
      <c r="L1393" s="57"/>
      <c r="M1393" s="14"/>
      <c r="N1393" s="14" t="s">
        <v>74</v>
      </c>
      <c r="O1393" s="14"/>
      <c r="P1393" s="15" t="s">
        <v>1726</v>
      </c>
      <c r="Q1393" s="16">
        <v>8899</v>
      </c>
      <c r="R1393" s="17">
        <v>40</v>
      </c>
      <c r="S1393" s="18">
        <v>6140.3099999999995</v>
      </c>
      <c r="T1393" s="19" t="s">
        <v>36</v>
      </c>
      <c r="U1393" s="20" t="s">
        <v>599</v>
      </c>
      <c r="V1393" s="28">
        <v>37.5</v>
      </c>
      <c r="W1393" s="22">
        <v>8</v>
      </c>
      <c r="X1393" s="23"/>
    </row>
    <row r="1394" spans="1:24" s="1" customFormat="1" ht="17.100000000000001" customHeight="1" x14ac:dyDescent="0.3">
      <c r="A1394" s="24" t="s">
        <v>23</v>
      </c>
      <c r="B1394" s="24" t="s">
        <v>1744</v>
      </c>
      <c r="C1394" s="12" t="s">
        <v>1745</v>
      </c>
      <c r="D1394" s="54"/>
      <c r="E1394" s="39" t="str">
        <f t="shared" si="33"/>
        <v>Еще фото</v>
      </c>
      <c r="F1394" s="13" t="s">
        <v>98</v>
      </c>
      <c r="G1394" s="24" t="s">
        <v>808</v>
      </c>
      <c r="H1394" s="24" t="s">
        <v>593</v>
      </c>
      <c r="I1394" s="24" t="s">
        <v>809</v>
      </c>
      <c r="J1394" s="14" t="s">
        <v>29</v>
      </c>
      <c r="K1394" s="15" t="s">
        <v>64</v>
      </c>
      <c r="L1394" s="57"/>
      <c r="M1394" s="14"/>
      <c r="N1394" s="14" t="s">
        <v>74</v>
      </c>
      <c r="O1394" s="14"/>
      <c r="P1394" s="15" t="s">
        <v>1726</v>
      </c>
      <c r="Q1394" s="16">
        <v>8899</v>
      </c>
      <c r="R1394" s="17">
        <v>40</v>
      </c>
      <c r="S1394" s="18">
        <v>6140.3099999999995</v>
      </c>
      <c r="T1394" s="19" t="s">
        <v>36</v>
      </c>
      <c r="U1394" s="20" t="s">
        <v>600</v>
      </c>
      <c r="V1394" s="22">
        <v>38</v>
      </c>
      <c r="W1394" s="22">
        <v>2</v>
      </c>
      <c r="X1394" s="23"/>
    </row>
    <row r="1395" spans="1:24" s="1" customFormat="1" ht="21.95" customHeight="1" x14ac:dyDescent="0.3">
      <c r="A1395" s="24" t="s">
        <v>23</v>
      </c>
      <c r="B1395" s="24" t="s">
        <v>1744</v>
      </c>
      <c r="C1395" s="12" t="s">
        <v>1745</v>
      </c>
      <c r="D1395" s="55"/>
      <c r="E1395" s="39" t="str">
        <f t="shared" si="33"/>
        <v>Еще фото</v>
      </c>
      <c r="F1395" s="13" t="s">
        <v>98</v>
      </c>
      <c r="G1395" s="24" t="s">
        <v>808</v>
      </c>
      <c r="H1395" s="24" t="s">
        <v>593</v>
      </c>
      <c r="I1395" s="24" t="s">
        <v>809</v>
      </c>
      <c r="J1395" s="14" t="s">
        <v>29</v>
      </c>
      <c r="K1395" s="15" t="s">
        <v>64</v>
      </c>
      <c r="L1395" s="58"/>
      <c r="M1395" s="14"/>
      <c r="N1395" s="14" t="s">
        <v>74</v>
      </c>
      <c r="O1395" s="14"/>
      <c r="P1395" s="15" t="s">
        <v>1726</v>
      </c>
      <c r="Q1395" s="16">
        <v>8899</v>
      </c>
      <c r="R1395" s="17">
        <v>40</v>
      </c>
      <c r="S1395" s="18">
        <v>6140.3099999999995</v>
      </c>
      <c r="T1395" s="19" t="s">
        <v>36</v>
      </c>
      <c r="U1395" s="20" t="s">
        <v>602</v>
      </c>
      <c r="V1395" s="28">
        <v>39.5</v>
      </c>
      <c r="W1395" s="22">
        <v>2</v>
      </c>
      <c r="X1395" s="23"/>
    </row>
    <row r="1396" spans="1:24" s="1" customFormat="1" ht="21" customHeight="1" x14ac:dyDescent="0.3">
      <c r="A1396" s="11" t="s">
        <v>23</v>
      </c>
      <c r="B1396" s="11" t="s">
        <v>1426</v>
      </c>
      <c r="C1396" s="26" t="s">
        <v>1747</v>
      </c>
      <c r="D1396" s="53"/>
      <c r="E1396" s="39" t="str">
        <f>HYPERLINK("https://www.google.ru/search?q=3028657-001&amp;newwindow=1&amp;tbm=isch","Еще фото")</f>
        <v>Еще фото</v>
      </c>
      <c r="F1396" s="13" t="s">
        <v>310</v>
      </c>
      <c r="G1396" s="11" t="s">
        <v>808</v>
      </c>
      <c r="H1396" s="11" t="s">
        <v>593</v>
      </c>
      <c r="I1396" s="14" t="s">
        <v>809</v>
      </c>
      <c r="J1396" s="14" t="s">
        <v>29</v>
      </c>
      <c r="K1396" s="15" t="s">
        <v>30</v>
      </c>
      <c r="L1396" s="56" t="s">
        <v>1748</v>
      </c>
      <c r="M1396" s="14"/>
      <c r="N1396" s="14" t="s">
        <v>33</v>
      </c>
      <c r="O1396" s="14"/>
      <c r="P1396" s="15" t="s">
        <v>1749</v>
      </c>
      <c r="Q1396" s="16">
        <v>13899</v>
      </c>
      <c r="R1396" s="17">
        <v>40</v>
      </c>
      <c r="S1396" s="18">
        <v>9590.31</v>
      </c>
      <c r="T1396" s="19" t="s">
        <v>36</v>
      </c>
      <c r="U1396" s="20" t="s">
        <v>598</v>
      </c>
      <c r="V1396" s="22">
        <v>39</v>
      </c>
      <c r="W1396" s="22">
        <v>6</v>
      </c>
      <c r="X1396" s="23"/>
    </row>
    <row r="1397" spans="1:24" s="1" customFormat="1" ht="21" customHeight="1" x14ac:dyDescent="0.3">
      <c r="A1397" s="24" t="s">
        <v>23</v>
      </c>
      <c r="B1397" s="24" t="s">
        <v>1426</v>
      </c>
      <c r="C1397" s="27" t="s">
        <v>1747</v>
      </c>
      <c r="D1397" s="54"/>
      <c r="E1397" s="39" t="str">
        <f>HYPERLINK("https://www.google.ru/search?q=3028657-001&amp;newwindow=1&amp;tbm=isch","Еще фото")</f>
        <v>Еще фото</v>
      </c>
      <c r="F1397" s="13" t="s">
        <v>310</v>
      </c>
      <c r="G1397" s="24" t="s">
        <v>808</v>
      </c>
      <c r="H1397" s="24" t="s">
        <v>593</v>
      </c>
      <c r="I1397" s="24" t="s">
        <v>809</v>
      </c>
      <c r="J1397" s="14" t="s">
        <v>29</v>
      </c>
      <c r="K1397" s="15" t="s">
        <v>30</v>
      </c>
      <c r="L1397" s="57"/>
      <c r="M1397" s="14"/>
      <c r="N1397" s="14" t="s">
        <v>33</v>
      </c>
      <c r="O1397" s="14"/>
      <c r="P1397" s="15" t="s">
        <v>1749</v>
      </c>
      <c r="Q1397" s="16">
        <v>13899</v>
      </c>
      <c r="R1397" s="17">
        <v>40</v>
      </c>
      <c r="S1397" s="18">
        <v>9590.31</v>
      </c>
      <c r="T1397" s="19" t="s">
        <v>36</v>
      </c>
      <c r="U1397" s="20" t="s">
        <v>599</v>
      </c>
      <c r="V1397" s="28">
        <v>39.5</v>
      </c>
      <c r="W1397" s="22">
        <v>11</v>
      </c>
      <c r="X1397" s="23"/>
    </row>
    <row r="1398" spans="1:24" s="1" customFormat="1" ht="21" customHeight="1" x14ac:dyDescent="0.3">
      <c r="A1398" s="24" t="s">
        <v>23</v>
      </c>
      <c r="B1398" s="24" t="s">
        <v>1426</v>
      </c>
      <c r="C1398" s="27" t="s">
        <v>1747</v>
      </c>
      <c r="D1398" s="54"/>
      <c r="E1398" s="39" t="str">
        <f>HYPERLINK("https://www.google.ru/search?q=3028657-001&amp;newwindow=1&amp;tbm=isch","Еще фото")</f>
        <v>Еще фото</v>
      </c>
      <c r="F1398" s="13" t="s">
        <v>310</v>
      </c>
      <c r="G1398" s="24" t="s">
        <v>808</v>
      </c>
      <c r="H1398" s="24" t="s">
        <v>593</v>
      </c>
      <c r="I1398" s="24" t="s">
        <v>809</v>
      </c>
      <c r="J1398" s="14" t="s">
        <v>29</v>
      </c>
      <c r="K1398" s="15" t="s">
        <v>30</v>
      </c>
      <c r="L1398" s="57"/>
      <c r="M1398" s="14"/>
      <c r="N1398" s="14" t="s">
        <v>33</v>
      </c>
      <c r="O1398" s="14"/>
      <c r="P1398" s="15" t="s">
        <v>1749</v>
      </c>
      <c r="Q1398" s="16">
        <v>13899</v>
      </c>
      <c r="R1398" s="17">
        <v>40</v>
      </c>
      <c r="S1398" s="18">
        <v>9590.31</v>
      </c>
      <c r="T1398" s="19" t="s">
        <v>36</v>
      </c>
      <c r="U1398" s="20" t="s">
        <v>601</v>
      </c>
      <c r="V1398" s="22">
        <v>41</v>
      </c>
      <c r="W1398" s="22">
        <v>24</v>
      </c>
      <c r="X1398" s="23"/>
    </row>
    <row r="1399" spans="1:24" s="1" customFormat="1" ht="21" customHeight="1" x14ac:dyDescent="0.3">
      <c r="A1399" s="24" t="s">
        <v>23</v>
      </c>
      <c r="B1399" s="24" t="s">
        <v>1426</v>
      </c>
      <c r="C1399" s="27" t="s">
        <v>1747</v>
      </c>
      <c r="D1399" s="54"/>
      <c r="E1399" s="39" t="str">
        <f>HYPERLINK("https://www.google.ru/search?q=3028657-001&amp;newwindow=1&amp;tbm=isch","Еще фото")</f>
        <v>Еще фото</v>
      </c>
      <c r="F1399" s="13" t="s">
        <v>310</v>
      </c>
      <c r="G1399" s="24" t="s">
        <v>808</v>
      </c>
      <c r="H1399" s="24" t="s">
        <v>593</v>
      </c>
      <c r="I1399" s="24" t="s">
        <v>809</v>
      </c>
      <c r="J1399" s="14" t="s">
        <v>29</v>
      </c>
      <c r="K1399" s="15" t="s">
        <v>30</v>
      </c>
      <c r="L1399" s="57"/>
      <c r="M1399" s="14"/>
      <c r="N1399" s="14" t="s">
        <v>33</v>
      </c>
      <c r="O1399" s="14"/>
      <c r="P1399" s="15" t="s">
        <v>1749</v>
      </c>
      <c r="Q1399" s="16">
        <v>13899</v>
      </c>
      <c r="R1399" s="17">
        <v>40</v>
      </c>
      <c r="S1399" s="18">
        <v>9590.31</v>
      </c>
      <c r="T1399" s="19" t="s">
        <v>36</v>
      </c>
      <c r="U1399" s="20" t="s">
        <v>604</v>
      </c>
      <c r="V1399" s="22">
        <v>43</v>
      </c>
      <c r="W1399" s="22">
        <v>7</v>
      </c>
      <c r="X1399" s="23"/>
    </row>
    <row r="1400" spans="1:24" s="1" customFormat="1" ht="32.1" customHeight="1" x14ac:dyDescent="0.3">
      <c r="A1400" s="24" t="s">
        <v>23</v>
      </c>
      <c r="B1400" s="24" t="s">
        <v>1426</v>
      </c>
      <c r="C1400" s="27" t="s">
        <v>1747</v>
      </c>
      <c r="D1400" s="55"/>
      <c r="E1400" s="39" t="str">
        <f>HYPERLINK("https://www.google.ru/search?q=3028657-001&amp;newwindow=1&amp;tbm=isch","Еще фото")</f>
        <v>Еще фото</v>
      </c>
      <c r="F1400" s="13" t="s">
        <v>310</v>
      </c>
      <c r="G1400" s="24" t="s">
        <v>808</v>
      </c>
      <c r="H1400" s="24" t="s">
        <v>593</v>
      </c>
      <c r="I1400" s="24" t="s">
        <v>809</v>
      </c>
      <c r="J1400" s="14" t="s">
        <v>29</v>
      </c>
      <c r="K1400" s="15" t="s">
        <v>30</v>
      </c>
      <c r="L1400" s="58"/>
      <c r="M1400" s="14"/>
      <c r="N1400" s="14" t="s">
        <v>33</v>
      </c>
      <c r="O1400" s="14"/>
      <c r="P1400" s="15" t="s">
        <v>1749</v>
      </c>
      <c r="Q1400" s="16">
        <v>13899</v>
      </c>
      <c r="R1400" s="17">
        <v>40</v>
      </c>
      <c r="S1400" s="18">
        <v>9590.31</v>
      </c>
      <c r="T1400" s="19" t="s">
        <v>36</v>
      </c>
      <c r="U1400" s="20" t="s">
        <v>607</v>
      </c>
      <c r="V1400" s="28">
        <v>44.5</v>
      </c>
      <c r="W1400" s="22">
        <v>5</v>
      </c>
      <c r="X1400" s="23"/>
    </row>
    <row r="1401" spans="1:24" s="1" customFormat="1" ht="26.1" customHeight="1" x14ac:dyDescent="0.3">
      <c r="A1401" s="11" t="s">
        <v>23</v>
      </c>
      <c r="B1401" s="11" t="s">
        <v>1426</v>
      </c>
      <c r="C1401" s="12" t="s">
        <v>1750</v>
      </c>
      <c r="D1401" s="53"/>
      <c r="E1401" s="39" t="str">
        <f>HYPERLINK("https://www.google.ru/search?q=3028657-002&amp;newwindow=1&amp;tbm=isch","Еще фото")</f>
        <v>Еще фото</v>
      </c>
      <c r="F1401" s="13"/>
      <c r="G1401" s="11" t="s">
        <v>808</v>
      </c>
      <c r="H1401" s="11" t="s">
        <v>593</v>
      </c>
      <c r="I1401" s="14" t="s">
        <v>809</v>
      </c>
      <c r="J1401" s="14" t="s">
        <v>29</v>
      </c>
      <c r="K1401" s="15" t="s">
        <v>30</v>
      </c>
      <c r="L1401" s="56" t="s">
        <v>1428</v>
      </c>
      <c r="M1401" s="14"/>
      <c r="N1401" s="14" t="s">
        <v>33</v>
      </c>
      <c r="O1401" s="14"/>
      <c r="P1401" s="15" t="s">
        <v>1429</v>
      </c>
      <c r="Q1401" s="16">
        <v>12099</v>
      </c>
      <c r="R1401" s="17">
        <v>40</v>
      </c>
      <c r="S1401" s="18">
        <v>8348.31</v>
      </c>
      <c r="T1401" s="19" t="s">
        <v>36</v>
      </c>
      <c r="U1401" s="20" t="s">
        <v>599</v>
      </c>
      <c r="V1401" s="28">
        <v>39.5</v>
      </c>
      <c r="W1401" s="22">
        <v>1</v>
      </c>
      <c r="X1401" s="23"/>
    </row>
    <row r="1402" spans="1:24" s="1" customFormat="1" ht="26.1" customHeight="1" x14ac:dyDescent="0.3">
      <c r="A1402" s="24" t="s">
        <v>23</v>
      </c>
      <c r="B1402" s="24" t="s">
        <v>1426</v>
      </c>
      <c r="C1402" s="12" t="s">
        <v>1750</v>
      </c>
      <c r="D1402" s="54"/>
      <c r="E1402" s="39" t="str">
        <f>HYPERLINK("https://www.google.ru/search?q=3028657-002&amp;newwindow=1&amp;tbm=isch","Еще фото")</f>
        <v>Еще фото</v>
      </c>
      <c r="F1402" s="13"/>
      <c r="G1402" s="24" t="s">
        <v>808</v>
      </c>
      <c r="H1402" s="24" t="s">
        <v>593</v>
      </c>
      <c r="I1402" s="24" t="s">
        <v>809</v>
      </c>
      <c r="J1402" s="14" t="s">
        <v>29</v>
      </c>
      <c r="K1402" s="15" t="s">
        <v>30</v>
      </c>
      <c r="L1402" s="57"/>
      <c r="M1402" s="14"/>
      <c r="N1402" s="14" t="s">
        <v>33</v>
      </c>
      <c r="O1402" s="14"/>
      <c r="P1402" s="15" t="s">
        <v>1429</v>
      </c>
      <c r="Q1402" s="16">
        <v>12099</v>
      </c>
      <c r="R1402" s="17">
        <v>40</v>
      </c>
      <c r="S1402" s="18">
        <v>8348.31</v>
      </c>
      <c r="T1402" s="19" t="s">
        <v>36</v>
      </c>
      <c r="U1402" s="20" t="s">
        <v>600</v>
      </c>
      <c r="V1402" s="22">
        <v>40</v>
      </c>
      <c r="W1402" s="22">
        <v>1</v>
      </c>
      <c r="X1402" s="23"/>
    </row>
    <row r="1403" spans="1:24" s="1" customFormat="1" ht="26.1" customHeight="1" x14ac:dyDescent="0.3">
      <c r="A1403" s="24" t="s">
        <v>23</v>
      </c>
      <c r="B1403" s="24" t="s">
        <v>1426</v>
      </c>
      <c r="C1403" s="12" t="s">
        <v>1750</v>
      </c>
      <c r="D1403" s="54"/>
      <c r="E1403" s="39" t="str">
        <f>HYPERLINK("https://www.google.ru/search?q=3028657-002&amp;newwindow=1&amp;tbm=isch","Еще фото")</f>
        <v>Еще фото</v>
      </c>
      <c r="F1403" s="13"/>
      <c r="G1403" s="24" t="s">
        <v>808</v>
      </c>
      <c r="H1403" s="24" t="s">
        <v>593</v>
      </c>
      <c r="I1403" s="24" t="s">
        <v>809</v>
      </c>
      <c r="J1403" s="14" t="s">
        <v>29</v>
      </c>
      <c r="K1403" s="15" t="s">
        <v>30</v>
      </c>
      <c r="L1403" s="57"/>
      <c r="M1403" s="14"/>
      <c r="N1403" s="14" t="s">
        <v>33</v>
      </c>
      <c r="O1403" s="14"/>
      <c r="P1403" s="15" t="s">
        <v>1429</v>
      </c>
      <c r="Q1403" s="16">
        <v>12099</v>
      </c>
      <c r="R1403" s="17">
        <v>40</v>
      </c>
      <c r="S1403" s="18">
        <v>8348.31</v>
      </c>
      <c r="T1403" s="19" t="s">
        <v>36</v>
      </c>
      <c r="U1403" s="20" t="s">
        <v>601</v>
      </c>
      <c r="V1403" s="22">
        <v>41</v>
      </c>
      <c r="W1403" s="22">
        <v>1</v>
      </c>
      <c r="X1403" s="23"/>
    </row>
    <row r="1404" spans="1:24" s="1" customFormat="1" ht="26.1" customHeight="1" x14ac:dyDescent="0.3">
      <c r="A1404" s="24" t="s">
        <v>23</v>
      </c>
      <c r="B1404" s="24" t="s">
        <v>1426</v>
      </c>
      <c r="C1404" s="12" t="s">
        <v>1750</v>
      </c>
      <c r="D1404" s="55"/>
      <c r="E1404" s="39" t="str">
        <f>HYPERLINK("https://www.google.ru/search?q=3028657-002&amp;newwindow=1&amp;tbm=isch","Еще фото")</f>
        <v>Еще фото</v>
      </c>
      <c r="F1404" s="13"/>
      <c r="G1404" s="24" t="s">
        <v>808</v>
      </c>
      <c r="H1404" s="24" t="s">
        <v>593</v>
      </c>
      <c r="I1404" s="24" t="s">
        <v>809</v>
      </c>
      <c r="J1404" s="14" t="s">
        <v>29</v>
      </c>
      <c r="K1404" s="15" t="s">
        <v>30</v>
      </c>
      <c r="L1404" s="58"/>
      <c r="M1404" s="14"/>
      <c r="N1404" s="14" t="s">
        <v>33</v>
      </c>
      <c r="O1404" s="14"/>
      <c r="P1404" s="15" t="s">
        <v>1429</v>
      </c>
      <c r="Q1404" s="16">
        <v>12099</v>
      </c>
      <c r="R1404" s="17">
        <v>40</v>
      </c>
      <c r="S1404" s="18">
        <v>8348.31</v>
      </c>
      <c r="T1404" s="19" t="s">
        <v>36</v>
      </c>
      <c r="U1404" s="20" t="s">
        <v>602</v>
      </c>
      <c r="V1404" s="28">
        <v>41.5</v>
      </c>
      <c r="W1404" s="22">
        <v>1</v>
      </c>
      <c r="X1404" s="23"/>
    </row>
    <row r="1405" spans="1:24" s="1" customFormat="1" ht="35.1" customHeight="1" x14ac:dyDescent="0.3">
      <c r="A1405" s="11" t="s">
        <v>23</v>
      </c>
      <c r="B1405" s="11" t="s">
        <v>1426</v>
      </c>
      <c r="C1405" s="12" t="s">
        <v>1751</v>
      </c>
      <c r="D1405" s="53"/>
      <c r="E1405" s="39" t="str">
        <f>HYPERLINK("https://www.google.ru/search?q=3028657-003&amp;newwindow=1&amp;tbm=isch","Еще фото")</f>
        <v>Еще фото</v>
      </c>
      <c r="F1405" s="13"/>
      <c r="G1405" s="11" t="s">
        <v>808</v>
      </c>
      <c r="H1405" s="11" t="s">
        <v>593</v>
      </c>
      <c r="I1405" s="14" t="s">
        <v>809</v>
      </c>
      <c r="J1405" s="14" t="s">
        <v>29</v>
      </c>
      <c r="K1405" s="15" t="s">
        <v>30</v>
      </c>
      <c r="L1405" s="56" t="s">
        <v>1752</v>
      </c>
      <c r="M1405" s="14" t="s">
        <v>32</v>
      </c>
      <c r="N1405" s="14" t="s">
        <v>33</v>
      </c>
      <c r="O1405" s="14"/>
      <c r="P1405" s="15" t="s">
        <v>1753</v>
      </c>
      <c r="Q1405" s="16">
        <v>14799</v>
      </c>
      <c r="R1405" s="17">
        <v>40</v>
      </c>
      <c r="S1405" s="18">
        <v>10211.31</v>
      </c>
      <c r="T1405" s="19" t="s">
        <v>36</v>
      </c>
      <c r="U1405" s="20" t="s">
        <v>600</v>
      </c>
      <c r="V1405" s="22">
        <v>40</v>
      </c>
      <c r="W1405" s="22">
        <v>1</v>
      </c>
      <c r="X1405" s="23"/>
    </row>
    <row r="1406" spans="1:24" s="1" customFormat="1" ht="35.1" customHeight="1" x14ac:dyDescent="0.3">
      <c r="A1406" s="24" t="s">
        <v>23</v>
      </c>
      <c r="B1406" s="24" t="s">
        <v>1426</v>
      </c>
      <c r="C1406" s="12" t="s">
        <v>1751</v>
      </c>
      <c r="D1406" s="54"/>
      <c r="E1406" s="39" t="str">
        <f>HYPERLINK("https://www.google.ru/search?q=3028657-003&amp;newwindow=1&amp;tbm=isch","Еще фото")</f>
        <v>Еще фото</v>
      </c>
      <c r="F1406" s="13"/>
      <c r="G1406" s="24" t="s">
        <v>808</v>
      </c>
      <c r="H1406" s="24" t="s">
        <v>593</v>
      </c>
      <c r="I1406" s="24" t="s">
        <v>809</v>
      </c>
      <c r="J1406" s="14" t="s">
        <v>29</v>
      </c>
      <c r="K1406" s="15" t="s">
        <v>30</v>
      </c>
      <c r="L1406" s="57"/>
      <c r="M1406" s="14" t="s">
        <v>32</v>
      </c>
      <c r="N1406" s="14" t="s">
        <v>33</v>
      </c>
      <c r="O1406" s="14"/>
      <c r="P1406" s="15" t="s">
        <v>1753</v>
      </c>
      <c r="Q1406" s="16">
        <v>14799</v>
      </c>
      <c r="R1406" s="17">
        <v>40</v>
      </c>
      <c r="S1406" s="18">
        <v>10211.31</v>
      </c>
      <c r="T1406" s="19" t="s">
        <v>36</v>
      </c>
      <c r="U1406" s="20" t="s">
        <v>604</v>
      </c>
      <c r="V1406" s="22">
        <v>43</v>
      </c>
      <c r="W1406" s="22">
        <v>1</v>
      </c>
      <c r="X1406" s="23"/>
    </row>
    <row r="1407" spans="1:24" s="1" customFormat="1" ht="36.950000000000003" customHeight="1" x14ac:dyDescent="0.3">
      <c r="A1407" s="24" t="s">
        <v>23</v>
      </c>
      <c r="B1407" s="24" t="s">
        <v>1426</v>
      </c>
      <c r="C1407" s="12" t="s">
        <v>1751</v>
      </c>
      <c r="D1407" s="55"/>
      <c r="E1407" s="39" t="str">
        <f>HYPERLINK("https://www.google.ru/search?q=3028657-003&amp;newwindow=1&amp;tbm=isch","Еще фото")</f>
        <v>Еще фото</v>
      </c>
      <c r="F1407" s="13"/>
      <c r="G1407" s="24" t="s">
        <v>808</v>
      </c>
      <c r="H1407" s="24" t="s">
        <v>593</v>
      </c>
      <c r="I1407" s="24" t="s">
        <v>809</v>
      </c>
      <c r="J1407" s="14" t="s">
        <v>29</v>
      </c>
      <c r="K1407" s="15" t="s">
        <v>30</v>
      </c>
      <c r="L1407" s="58"/>
      <c r="M1407" s="14" t="s">
        <v>32</v>
      </c>
      <c r="N1407" s="14" t="s">
        <v>33</v>
      </c>
      <c r="O1407" s="14"/>
      <c r="P1407" s="15" t="s">
        <v>1753</v>
      </c>
      <c r="Q1407" s="16">
        <v>14799</v>
      </c>
      <c r="R1407" s="17">
        <v>40</v>
      </c>
      <c r="S1407" s="18">
        <v>10211.31</v>
      </c>
      <c r="T1407" s="19" t="s">
        <v>36</v>
      </c>
      <c r="U1407" s="20" t="s">
        <v>605</v>
      </c>
      <c r="V1407" s="28">
        <v>43.5</v>
      </c>
      <c r="W1407" s="22">
        <v>1</v>
      </c>
      <c r="X1407" s="23"/>
    </row>
    <row r="1408" spans="1:24" s="1" customFormat="1" ht="35.1" customHeight="1" x14ac:dyDescent="0.3">
      <c r="A1408" s="11" t="s">
        <v>23</v>
      </c>
      <c r="B1408" s="11" t="s">
        <v>1426</v>
      </c>
      <c r="C1408" s="12" t="s">
        <v>1754</v>
      </c>
      <c r="D1408" s="53"/>
      <c r="E1408" s="39" t="str">
        <f>HYPERLINK("https://www.google.ru/search?q=3028657-709&amp;newwindow=1&amp;tbm=isch","Еще фото")</f>
        <v>Еще фото</v>
      </c>
      <c r="F1408" s="13"/>
      <c r="G1408" s="11" t="s">
        <v>808</v>
      </c>
      <c r="H1408" s="11" t="s">
        <v>593</v>
      </c>
      <c r="I1408" s="14" t="s">
        <v>809</v>
      </c>
      <c r="J1408" s="14" t="s">
        <v>840</v>
      </c>
      <c r="K1408" s="15" t="s">
        <v>30</v>
      </c>
      <c r="L1408" s="56" t="s">
        <v>1752</v>
      </c>
      <c r="M1408" s="14"/>
      <c r="N1408" s="14" t="s">
        <v>125</v>
      </c>
      <c r="O1408" s="14"/>
      <c r="P1408" s="15" t="s">
        <v>1314</v>
      </c>
      <c r="Q1408" s="16">
        <v>13899</v>
      </c>
      <c r="R1408" s="17">
        <v>40</v>
      </c>
      <c r="S1408" s="18">
        <v>9590.31</v>
      </c>
      <c r="T1408" s="19" t="s">
        <v>36</v>
      </c>
      <c r="U1408" s="20" t="s">
        <v>603</v>
      </c>
      <c r="V1408" s="22">
        <v>42</v>
      </c>
      <c r="W1408" s="22">
        <v>3</v>
      </c>
      <c r="X1408" s="23"/>
    </row>
    <row r="1409" spans="1:24" s="1" customFormat="1" ht="35.1" customHeight="1" x14ac:dyDescent="0.3">
      <c r="A1409" s="24" t="s">
        <v>23</v>
      </c>
      <c r="B1409" s="24" t="s">
        <v>1426</v>
      </c>
      <c r="C1409" s="12" t="s">
        <v>1754</v>
      </c>
      <c r="D1409" s="54"/>
      <c r="E1409" s="39" t="str">
        <f>HYPERLINK("https://www.google.ru/search?q=3028657-709&amp;newwindow=1&amp;tbm=isch","Еще фото")</f>
        <v>Еще фото</v>
      </c>
      <c r="F1409" s="13"/>
      <c r="G1409" s="24" t="s">
        <v>808</v>
      </c>
      <c r="H1409" s="24" t="s">
        <v>593</v>
      </c>
      <c r="I1409" s="24" t="s">
        <v>809</v>
      </c>
      <c r="J1409" s="14" t="s">
        <v>840</v>
      </c>
      <c r="K1409" s="15" t="s">
        <v>30</v>
      </c>
      <c r="L1409" s="57"/>
      <c r="M1409" s="14"/>
      <c r="N1409" s="14" t="s">
        <v>125</v>
      </c>
      <c r="O1409" s="14"/>
      <c r="P1409" s="15" t="s">
        <v>1314</v>
      </c>
      <c r="Q1409" s="16">
        <v>13899</v>
      </c>
      <c r="R1409" s="17">
        <v>40</v>
      </c>
      <c r="S1409" s="18">
        <v>9590.31</v>
      </c>
      <c r="T1409" s="19" t="s">
        <v>36</v>
      </c>
      <c r="U1409" s="20" t="s">
        <v>604</v>
      </c>
      <c r="V1409" s="22">
        <v>43</v>
      </c>
      <c r="W1409" s="22">
        <v>2</v>
      </c>
      <c r="X1409" s="23"/>
    </row>
    <row r="1410" spans="1:24" s="1" customFormat="1" ht="36.950000000000003" customHeight="1" x14ac:dyDescent="0.3">
      <c r="A1410" s="24" t="s">
        <v>23</v>
      </c>
      <c r="B1410" s="24" t="s">
        <v>1426</v>
      </c>
      <c r="C1410" s="12" t="s">
        <v>1754</v>
      </c>
      <c r="D1410" s="55"/>
      <c r="E1410" s="39" t="str">
        <f>HYPERLINK("https://www.google.ru/search?q=3028657-709&amp;newwindow=1&amp;tbm=isch","Еще фото")</f>
        <v>Еще фото</v>
      </c>
      <c r="F1410" s="13"/>
      <c r="G1410" s="24" t="s">
        <v>808</v>
      </c>
      <c r="H1410" s="24" t="s">
        <v>593</v>
      </c>
      <c r="I1410" s="24" t="s">
        <v>809</v>
      </c>
      <c r="J1410" s="14" t="s">
        <v>840</v>
      </c>
      <c r="K1410" s="15" t="s">
        <v>30</v>
      </c>
      <c r="L1410" s="58"/>
      <c r="M1410" s="14"/>
      <c r="N1410" s="14" t="s">
        <v>125</v>
      </c>
      <c r="O1410" s="14"/>
      <c r="P1410" s="15" t="s">
        <v>1314</v>
      </c>
      <c r="Q1410" s="16">
        <v>13899</v>
      </c>
      <c r="R1410" s="17">
        <v>40</v>
      </c>
      <c r="S1410" s="18">
        <v>9590.31</v>
      </c>
      <c r="T1410" s="19" t="s">
        <v>36</v>
      </c>
      <c r="U1410" s="20" t="s">
        <v>605</v>
      </c>
      <c r="V1410" s="28">
        <v>43.5</v>
      </c>
      <c r="W1410" s="22">
        <v>2</v>
      </c>
      <c r="X1410" s="23"/>
    </row>
    <row r="1411" spans="1:24" s="1" customFormat="1" ht="26.1" customHeight="1" x14ac:dyDescent="0.3">
      <c r="A1411" s="11" t="s">
        <v>23</v>
      </c>
      <c r="B1411" s="11" t="s">
        <v>1755</v>
      </c>
      <c r="C1411" s="12" t="s">
        <v>1756</v>
      </c>
      <c r="D1411" s="53"/>
      <c r="E1411" s="39" t="str">
        <f>HYPERLINK("https://www.google.ru/search?q=3028751-002&amp;newwindow=1&amp;tbm=isch","Еще фото")</f>
        <v>Еще фото</v>
      </c>
      <c r="F1411" s="13"/>
      <c r="G1411" s="11" t="s">
        <v>808</v>
      </c>
      <c r="H1411" s="11" t="s">
        <v>593</v>
      </c>
      <c r="I1411" s="14" t="s">
        <v>809</v>
      </c>
      <c r="J1411" s="14" t="s">
        <v>29</v>
      </c>
      <c r="K1411" s="15" t="s">
        <v>30</v>
      </c>
      <c r="L1411" s="56" t="s">
        <v>1055</v>
      </c>
      <c r="M1411" s="14" t="s">
        <v>824</v>
      </c>
      <c r="N1411" s="14" t="s">
        <v>33</v>
      </c>
      <c r="O1411" s="14"/>
      <c r="P1411" s="15" t="s">
        <v>1056</v>
      </c>
      <c r="Q1411" s="16">
        <v>17099</v>
      </c>
      <c r="R1411" s="17">
        <v>40</v>
      </c>
      <c r="S1411" s="18">
        <v>11798.31</v>
      </c>
      <c r="T1411" s="19" t="s">
        <v>36</v>
      </c>
      <c r="U1411" s="20" t="s">
        <v>599</v>
      </c>
      <c r="V1411" s="28">
        <v>39.5</v>
      </c>
      <c r="W1411" s="22">
        <v>1</v>
      </c>
      <c r="X1411" s="23"/>
    </row>
    <row r="1412" spans="1:24" s="1" customFormat="1" ht="26.1" customHeight="1" x14ac:dyDescent="0.3">
      <c r="A1412" s="24" t="s">
        <v>23</v>
      </c>
      <c r="B1412" s="24" t="s">
        <v>1755</v>
      </c>
      <c r="C1412" s="12" t="s">
        <v>1756</v>
      </c>
      <c r="D1412" s="54"/>
      <c r="E1412" s="39" t="str">
        <f>HYPERLINK("https://www.google.ru/search?q=3028751-002&amp;newwindow=1&amp;tbm=isch","Еще фото")</f>
        <v>Еще фото</v>
      </c>
      <c r="F1412" s="13"/>
      <c r="G1412" s="24" t="s">
        <v>808</v>
      </c>
      <c r="H1412" s="24" t="s">
        <v>593</v>
      </c>
      <c r="I1412" s="24" t="s">
        <v>809</v>
      </c>
      <c r="J1412" s="14" t="s">
        <v>29</v>
      </c>
      <c r="K1412" s="15" t="s">
        <v>30</v>
      </c>
      <c r="L1412" s="57"/>
      <c r="M1412" s="14" t="s">
        <v>824</v>
      </c>
      <c r="N1412" s="14" t="s">
        <v>33</v>
      </c>
      <c r="O1412" s="14"/>
      <c r="P1412" s="15" t="s">
        <v>1056</v>
      </c>
      <c r="Q1412" s="16">
        <v>17099</v>
      </c>
      <c r="R1412" s="17">
        <v>40</v>
      </c>
      <c r="S1412" s="18">
        <v>11798.31</v>
      </c>
      <c r="T1412" s="19" t="s">
        <v>36</v>
      </c>
      <c r="U1412" s="20" t="s">
        <v>601</v>
      </c>
      <c r="V1412" s="22">
        <v>41</v>
      </c>
      <c r="W1412" s="22">
        <v>1</v>
      </c>
      <c r="X1412" s="23"/>
    </row>
    <row r="1413" spans="1:24" s="1" customFormat="1" ht="26.1" customHeight="1" x14ac:dyDescent="0.3">
      <c r="A1413" s="24" t="s">
        <v>23</v>
      </c>
      <c r="B1413" s="24" t="s">
        <v>1755</v>
      </c>
      <c r="C1413" s="12" t="s">
        <v>1756</v>
      </c>
      <c r="D1413" s="54"/>
      <c r="E1413" s="39" t="str">
        <f>HYPERLINK("https://www.google.ru/search?q=3028751-002&amp;newwindow=1&amp;tbm=isch","Еще фото")</f>
        <v>Еще фото</v>
      </c>
      <c r="F1413" s="13"/>
      <c r="G1413" s="24" t="s">
        <v>808</v>
      </c>
      <c r="H1413" s="24" t="s">
        <v>593</v>
      </c>
      <c r="I1413" s="24" t="s">
        <v>809</v>
      </c>
      <c r="J1413" s="14" t="s">
        <v>29</v>
      </c>
      <c r="K1413" s="15" t="s">
        <v>30</v>
      </c>
      <c r="L1413" s="57"/>
      <c r="M1413" s="14" t="s">
        <v>824</v>
      </c>
      <c r="N1413" s="14" t="s">
        <v>33</v>
      </c>
      <c r="O1413" s="14"/>
      <c r="P1413" s="15" t="s">
        <v>1056</v>
      </c>
      <c r="Q1413" s="16">
        <v>17099</v>
      </c>
      <c r="R1413" s="17">
        <v>40</v>
      </c>
      <c r="S1413" s="18">
        <v>11798.31</v>
      </c>
      <c r="T1413" s="19" t="s">
        <v>36</v>
      </c>
      <c r="U1413" s="20" t="s">
        <v>602</v>
      </c>
      <c r="V1413" s="28">
        <v>41.5</v>
      </c>
      <c r="W1413" s="22">
        <v>2</v>
      </c>
      <c r="X1413" s="23"/>
    </row>
    <row r="1414" spans="1:24" s="1" customFormat="1" ht="26.1" customHeight="1" x14ac:dyDescent="0.3">
      <c r="A1414" s="24" t="s">
        <v>23</v>
      </c>
      <c r="B1414" s="24" t="s">
        <v>1755</v>
      </c>
      <c r="C1414" s="12" t="s">
        <v>1756</v>
      </c>
      <c r="D1414" s="55"/>
      <c r="E1414" s="39" t="str">
        <f>HYPERLINK("https://www.google.ru/search?q=3028751-002&amp;newwindow=1&amp;tbm=isch","Еще фото")</f>
        <v>Еще фото</v>
      </c>
      <c r="F1414" s="13"/>
      <c r="G1414" s="24" t="s">
        <v>808</v>
      </c>
      <c r="H1414" s="24" t="s">
        <v>593</v>
      </c>
      <c r="I1414" s="24" t="s">
        <v>809</v>
      </c>
      <c r="J1414" s="14" t="s">
        <v>29</v>
      </c>
      <c r="K1414" s="15" t="s">
        <v>30</v>
      </c>
      <c r="L1414" s="58"/>
      <c r="M1414" s="14" t="s">
        <v>824</v>
      </c>
      <c r="N1414" s="14" t="s">
        <v>33</v>
      </c>
      <c r="O1414" s="14"/>
      <c r="P1414" s="15" t="s">
        <v>1056</v>
      </c>
      <c r="Q1414" s="16">
        <v>17099</v>
      </c>
      <c r="R1414" s="17">
        <v>40</v>
      </c>
      <c r="S1414" s="18">
        <v>11798.31</v>
      </c>
      <c r="T1414" s="19" t="s">
        <v>36</v>
      </c>
      <c r="U1414" s="20" t="s">
        <v>605</v>
      </c>
      <c r="V1414" s="28">
        <v>43.5</v>
      </c>
      <c r="W1414" s="22">
        <v>1</v>
      </c>
      <c r="X1414" s="23"/>
    </row>
    <row r="1415" spans="1:24" s="1" customFormat="1" ht="51.95" customHeight="1" x14ac:dyDescent="0.3">
      <c r="A1415" s="11" t="s">
        <v>23</v>
      </c>
      <c r="B1415" s="11" t="s">
        <v>1053</v>
      </c>
      <c r="C1415" s="12" t="s">
        <v>1757</v>
      </c>
      <c r="D1415" s="59"/>
      <c r="E1415" s="39" t="str">
        <f>HYPERLINK("https://www.google.ru/search?q=3028751-026&amp;newwindow=1&amp;tbm=isch","Еще фото")</f>
        <v>Еще фото</v>
      </c>
      <c r="F1415" s="13"/>
      <c r="G1415" s="11" t="s">
        <v>808</v>
      </c>
      <c r="H1415" s="11" t="s">
        <v>593</v>
      </c>
      <c r="I1415" s="14" t="s">
        <v>809</v>
      </c>
      <c r="J1415" s="14" t="s">
        <v>29</v>
      </c>
      <c r="K1415" s="15" t="s">
        <v>30</v>
      </c>
      <c r="L1415" s="56" t="s">
        <v>1758</v>
      </c>
      <c r="M1415" s="14" t="s">
        <v>824</v>
      </c>
      <c r="N1415" s="14" t="s">
        <v>84</v>
      </c>
      <c r="O1415" s="14"/>
      <c r="P1415" s="15" t="s">
        <v>1056</v>
      </c>
      <c r="Q1415" s="16">
        <v>13299</v>
      </c>
      <c r="R1415" s="17">
        <v>40</v>
      </c>
      <c r="S1415" s="18">
        <v>9176.31</v>
      </c>
      <c r="T1415" s="19" t="s">
        <v>36</v>
      </c>
      <c r="U1415" s="20" t="s">
        <v>599</v>
      </c>
      <c r="V1415" s="28">
        <v>39.5</v>
      </c>
      <c r="W1415" s="22">
        <v>1</v>
      </c>
      <c r="X1415" s="23"/>
    </row>
    <row r="1416" spans="1:24" s="1" customFormat="1" ht="60.95" customHeight="1" x14ac:dyDescent="0.3">
      <c r="A1416" s="24" t="s">
        <v>23</v>
      </c>
      <c r="B1416" s="24" t="s">
        <v>1053</v>
      </c>
      <c r="C1416" s="12" t="s">
        <v>1757</v>
      </c>
      <c r="D1416" s="60"/>
      <c r="E1416" s="39" t="str">
        <f>HYPERLINK("https://www.google.ru/search?q=3028751-026&amp;newwindow=1&amp;tbm=isch","Еще фото")</f>
        <v>Еще фото</v>
      </c>
      <c r="F1416" s="13"/>
      <c r="G1416" s="24" t="s">
        <v>808</v>
      </c>
      <c r="H1416" s="24" t="s">
        <v>593</v>
      </c>
      <c r="I1416" s="24" t="s">
        <v>809</v>
      </c>
      <c r="J1416" s="14" t="s">
        <v>29</v>
      </c>
      <c r="K1416" s="15" t="s">
        <v>30</v>
      </c>
      <c r="L1416" s="58"/>
      <c r="M1416" s="14" t="s">
        <v>824</v>
      </c>
      <c r="N1416" s="14" t="s">
        <v>84</v>
      </c>
      <c r="O1416" s="14"/>
      <c r="P1416" s="15" t="s">
        <v>1056</v>
      </c>
      <c r="Q1416" s="16">
        <v>13299</v>
      </c>
      <c r="R1416" s="17">
        <v>40</v>
      </c>
      <c r="S1416" s="18">
        <v>9176.31</v>
      </c>
      <c r="T1416" s="19" t="s">
        <v>36</v>
      </c>
      <c r="U1416" s="20" t="s">
        <v>604</v>
      </c>
      <c r="V1416" s="22">
        <v>43</v>
      </c>
      <c r="W1416" s="22">
        <v>1</v>
      </c>
      <c r="X1416" s="23"/>
    </row>
    <row r="1417" spans="1:24" s="1" customFormat="1" ht="35.1" customHeight="1" x14ac:dyDescent="0.3">
      <c r="A1417" s="11" t="s">
        <v>23</v>
      </c>
      <c r="B1417" s="11" t="s">
        <v>1755</v>
      </c>
      <c r="C1417" s="12" t="s">
        <v>1759</v>
      </c>
      <c r="D1417" s="53"/>
      <c r="E1417" s="39" t="str">
        <f>HYPERLINK("https://www.google.ru/search?q=3028751-100&amp;newwindow=1&amp;tbm=isch","Еще фото")</f>
        <v>Еще фото</v>
      </c>
      <c r="F1417" s="13"/>
      <c r="G1417" s="11" t="s">
        <v>808</v>
      </c>
      <c r="H1417" s="11" t="s">
        <v>593</v>
      </c>
      <c r="I1417" s="14" t="s">
        <v>809</v>
      </c>
      <c r="J1417" s="14" t="s">
        <v>29</v>
      </c>
      <c r="K1417" s="15" t="s">
        <v>30</v>
      </c>
      <c r="L1417" s="56" t="s">
        <v>1055</v>
      </c>
      <c r="M1417" s="14" t="s">
        <v>824</v>
      </c>
      <c r="N1417" s="14" t="s">
        <v>84</v>
      </c>
      <c r="O1417" s="14"/>
      <c r="P1417" s="15" t="s">
        <v>1056</v>
      </c>
      <c r="Q1417" s="16">
        <v>17099</v>
      </c>
      <c r="R1417" s="17">
        <v>40</v>
      </c>
      <c r="S1417" s="18">
        <v>11798.31</v>
      </c>
      <c r="T1417" s="19" t="s">
        <v>36</v>
      </c>
      <c r="U1417" s="20" t="s">
        <v>599</v>
      </c>
      <c r="V1417" s="28">
        <v>39.5</v>
      </c>
      <c r="W1417" s="22">
        <v>2</v>
      </c>
      <c r="X1417" s="23"/>
    </row>
    <row r="1418" spans="1:24" s="1" customFormat="1" ht="35.1" customHeight="1" x14ac:dyDescent="0.3">
      <c r="A1418" s="24" t="s">
        <v>23</v>
      </c>
      <c r="B1418" s="24" t="s">
        <v>1755</v>
      </c>
      <c r="C1418" s="12" t="s">
        <v>1759</v>
      </c>
      <c r="D1418" s="54"/>
      <c r="E1418" s="39" t="str">
        <f>HYPERLINK("https://www.google.ru/search?q=3028751-100&amp;newwindow=1&amp;tbm=isch","Еще фото")</f>
        <v>Еще фото</v>
      </c>
      <c r="F1418" s="13"/>
      <c r="G1418" s="24" t="s">
        <v>808</v>
      </c>
      <c r="H1418" s="24" t="s">
        <v>593</v>
      </c>
      <c r="I1418" s="24" t="s">
        <v>809</v>
      </c>
      <c r="J1418" s="14" t="s">
        <v>29</v>
      </c>
      <c r="K1418" s="15" t="s">
        <v>30</v>
      </c>
      <c r="L1418" s="57"/>
      <c r="M1418" s="14" t="s">
        <v>824</v>
      </c>
      <c r="N1418" s="14" t="s">
        <v>84</v>
      </c>
      <c r="O1418" s="14"/>
      <c r="P1418" s="15" t="s">
        <v>1056</v>
      </c>
      <c r="Q1418" s="16">
        <v>17099</v>
      </c>
      <c r="R1418" s="17">
        <v>40</v>
      </c>
      <c r="S1418" s="18">
        <v>11798.31</v>
      </c>
      <c r="T1418" s="19" t="s">
        <v>36</v>
      </c>
      <c r="U1418" s="20" t="s">
        <v>602</v>
      </c>
      <c r="V1418" s="28">
        <v>41.5</v>
      </c>
      <c r="W1418" s="22">
        <v>3</v>
      </c>
      <c r="X1418" s="23"/>
    </row>
    <row r="1419" spans="1:24" s="1" customFormat="1" ht="36.950000000000003" customHeight="1" x14ac:dyDescent="0.3">
      <c r="A1419" s="24" t="s">
        <v>23</v>
      </c>
      <c r="B1419" s="24" t="s">
        <v>1755</v>
      </c>
      <c r="C1419" s="12" t="s">
        <v>1759</v>
      </c>
      <c r="D1419" s="55"/>
      <c r="E1419" s="39" t="str">
        <f>HYPERLINK("https://www.google.ru/search?q=3028751-100&amp;newwindow=1&amp;tbm=isch","Еще фото")</f>
        <v>Еще фото</v>
      </c>
      <c r="F1419" s="13"/>
      <c r="G1419" s="24" t="s">
        <v>808</v>
      </c>
      <c r="H1419" s="24" t="s">
        <v>593</v>
      </c>
      <c r="I1419" s="24" t="s">
        <v>809</v>
      </c>
      <c r="J1419" s="14" t="s">
        <v>29</v>
      </c>
      <c r="K1419" s="15" t="s">
        <v>30</v>
      </c>
      <c r="L1419" s="58"/>
      <c r="M1419" s="14" t="s">
        <v>824</v>
      </c>
      <c r="N1419" s="14" t="s">
        <v>84</v>
      </c>
      <c r="O1419" s="14"/>
      <c r="P1419" s="15" t="s">
        <v>1056</v>
      </c>
      <c r="Q1419" s="16">
        <v>17099</v>
      </c>
      <c r="R1419" s="17">
        <v>40</v>
      </c>
      <c r="S1419" s="18">
        <v>11798.31</v>
      </c>
      <c r="T1419" s="19" t="s">
        <v>36</v>
      </c>
      <c r="U1419" s="20" t="s">
        <v>603</v>
      </c>
      <c r="V1419" s="22">
        <v>42</v>
      </c>
      <c r="W1419" s="22">
        <v>1</v>
      </c>
      <c r="X1419" s="23"/>
    </row>
    <row r="1420" spans="1:24" s="1" customFormat="1" ht="35.1" customHeight="1" x14ac:dyDescent="0.3">
      <c r="A1420" s="11" t="s">
        <v>23</v>
      </c>
      <c r="B1420" s="11" t="s">
        <v>1760</v>
      </c>
      <c r="C1420" s="12" t="s">
        <v>1761</v>
      </c>
      <c r="D1420" s="53"/>
      <c r="E1420" s="39" t="str">
        <f>HYPERLINK("https://www.google.ru/search?q=6000007-003&amp;newwindow=1&amp;tbm=isch","Еще фото")</f>
        <v>Еще фото</v>
      </c>
      <c r="F1420" s="13" t="s">
        <v>98</v>
      </c>
      <c r="G1420" s="11" t="s">
        <v>808</v>
      </c>
      <c r="H1420" s="11" t="s">
        <v>593</v>
      </c>
      <c r="I1420" s="14" t="s">
        <v>809</v>
      </c>
      <c r="J1420" s="14" t="s">
        <v>29</v>
      </c>
      <c r="K1420" s="15" t="s">
        <v>30</v>
      </c>
      <c r="L1420" s="56" t="s">
        <v>1762</v>
      </c>
      <c r="M1420" s="14"/>
      <c r="N1420" s="14" t="s">
        <v>33</v>
      </c>
      <c r="O1420" s="14"/>
      <c r="P1420" s="15" t="s">
        <v>870</v>
      </c>
      <c r="Q1420" s="16">
        <v>17099</v>
      </c>
      <c r="R1420" s="17">
        <v>40</v>
      </c>
      <c r="S1420" s="18">
        <v>11798.31</v>
      </c>
      <c r="T1420" s="19" t="s">
        <v>36</v>
      </c>
      <c r="U1420" s="20" t="s">
        <v>602</v>
      </c>
      <c r="V1420" s="28">
        <v>41.5</v>
      </c>
      <c r="W1420" s="22">
        <v>2</v>
      </c>
      <c r="X1420" s="23"/>
    </row>
    <row r="1421" spans="1:24" s="1" customFormat="1" ht="35.1" customHeight="1" x14ac:dyDescent="0.3">
      <c r="A1421" s="24" t="s">
        <v>23</v>
      </c>
      <c r="B1421" s="24" t="s">
        <v>1760</v>
      </c>
      <c r="C1421" s="12" t="s">
        <v>1761</v>
      </c>
      <c r="D1421" s="54"/>
      <c r="E1421" s="39" t="str">
        <f>HYPERLINK("https://www.google.ru/search?q=6000007-003&amp;newwindow=1&amp;tbm=isch","Еще фото")</f>
        <v>Еще фото</v>
      </c>
      <c r="F1421" s="13" t="s">
        <v>98</v>
      </c>
      <c r="G1421" s="24" t="s">
        <v>808</v>
      </c>
      <c r="H1421" s="24" t="s">
        <v>593</v>
      </c>
      <c r="I1421" s="24" t="s">
        <v>809</v>
      </c>
      <c r="J1421" s="14" t="s">
        <v>29</v>
      </c>
      <c r="K1421" s="15" t="s">
        <v>30</v>
      </c>
      <c r="L1421" s="57"/>
      <c r="M1421" s="14"/>
      <c r="N1421" s="14" t="s">
        <v>33</v>
      </c>
      <c r="O1421" s="14"/>
      <c r="P1421" s="15" t="s">
        <v>870</v>
      </c>
      <c r="Q1421" s="16">
        <v>17099</v>
      </c>
      <c r="R1421" s="17">
        <v>40</v>
      </c>
      <c r="S1421" s="18">
        <v>11798.31</v>
      </c>
      <c r="T1421" s="19" t="s">
        <v>36</v>
      </c>
      <c r="U1421" s="20" t="s">
        <v>604</v>
      </c>
      <c r="V1421" s="22">
        <v>43</v>
      </c>
      <c r="W1421" s="22">
        <v>1</v>
      </c>
      <c r="X1421" s="23"/>
    </row>
    <row r="1422" spans="1:24" s="1" customFormat="1" ht="36.950000000000003" customHeight="1" x14ac:dyDescent="0.3">
      <c r="A1422" s="24" t="s">
        <v>23</v>
      </c>
      <c r="B1422" s="24" t="s">
        <v>1760</v>
      </c>
      <c r="C1422" s="12" t="s">
        <v>1761</v>
      </c>
      <c r="D1422" s="55"/>
      <c r="E1422" s="39" t="str">
        <f>HYPERLINK("https://www.google.ru/search?q=6000007-003&amp;newwindow=1&amp;tbm=isch","Еще фото")</f>
        <v>Еще фото</v>
      </c>
      <c r="F1422" s="13" t="s">
        <v>98</v>
      </c>
      <c r="G1422" s="24" t="s">
        <v>808</v>
      </c>
      <c r="H1422" s="24" t="s">
        <v>593</v>
      </c>
      <c r="I1422" s="24" t="s">
        <v>809</v>
      </c>
      <c r="J1422" s="14" t="s">
        <v>29</v>
      </c>
      <c r="K1422" s="15" t="s">
        <v>30</v>
      </c>
      <c r="L1422" s="58"/>
      <c r="M1422" s="14"/>
      <c r="N1422" s="14" t="s">
        <v>33</v>
      </c>
      <c r="O1422" s="14"/>
      <c r="P1422" s="15" t="s">
        <v>870</v>
      </c>
      <c r="Q1422" s="16">
        <v>17099</v>
      </c>
      <c r="R1422" s="17">
        <v>40</v>
      </c>
      <c r="S1422" s="18">
        <v>11798.31</v>
      </c>
      <c r="T1422" s="19" t="s">
        <v>36</v>
      </c>
      <c r="U1422" s="20" t="s">
        <v>605</v>
      </c>
      <c r="V1422" s="28">
        <v>43.5</v>
      </c>
      <c r="W1422" s="22">
        <v>2</v>
      </c>
      <c r="X1422" s="23"/>
    </row>
    <row r="1423" spans="1:24" s="1" customFormat="1" ht="35.1" customHeight="1" x14ac:dyDescent="0.3">
      <c r="A1423" s="11" t="s">
        <v>23</v>
      </c>
      <c r="B1423" s="11" t="s">
        <v>1763</v>
      </c>
      <c r="C1423" s="12" t="s">
        <v>1764</v>
      </c>
      <c r="D1423" s="53"/>
      <c r="E1423" s="39" t="str">
        <f>HYPERLINK("https://www.google.ru/search?q=6000597-016&amp;newwindow=1&amp;tbm=isch","Еще фото")</f>
        <v>Еще фото</v>
      </c>
      <c r="F1423" s="13" t="s">
        <v>98</v>
      </c>
      <c r="G1423" s="11" t="s">
        <v>808</v>
      </c>
      <c r="H1423" s="11" t="s">
        <v>593</v>
      </c>
      <c r="I1423" s="14" t="s">
        <v>809</v>
      </c>
      <c r="J1423" s="14" t="s">
        <v>29</v>
      </c>
      <c r="K1423" s="15" t="s">
        <v>30</v>
      </c>
      <c r="L1423" s="56" t="s">
        <v>1765</v>
      </c>
      <c r="M1423" s="14"/>
      <c r="N1423" s="14" t="s">
        <v>84</v>
      </c>
      <c r="O1423" s="14"/>
      <c r="P1423" s="15" t="s">
        <v>870</v>
      </c>
      <c r="Q1423" s="16">
        <v>9499</v>
      </c>
      <c r="R1423" s="17">
        <v>40</v>
      </c>
      <c r="S1423" s="18">
        <v>6554.3099999999995</v>
      </c>
      <c r="T1423" s="19" t="s">
        <v>36</v>
      </c>
      <c r="U1423" s="20" t="s">
        <v>599</v>
      </c>
      <c r="V1423" s="28">
        <v>39.5</v>
      </c>
      <c r="W1423" s="22">
        <v>2</v>
      </c>
      <c r="X1423" s="23"/>
    </row>
    <row r="1424" spans="1:24" s="1" customFormat="1" ht="35.1" customHeight="1" x14ac:dyDescent="0.3">
      <c r="A1424" s="24" t="s">
        <v>23</v>
      </c>
      <c r="B1424" s="24" t="s">
        <v>1763</v>
      </c>
      <c r="C1424" s="12" t="s">
        <v>1764</v>
      </c>
      <c r="D1424" s="54"/>
      <c r="E1424" s="39" t="str">
        <f>HYPERLINK("https://www.google.ru/search?q=6000597-016&amp;newwindow=1&amp;tbm=isch","Еще фото")</f>
        <v>Еще фото</v>
      </c>
      <c r="F1424" s="13" t="s">
        <v>98</v>
      </c>
      <c r="G1424" s="24" t="s">
        <v>808</v>
      </c>
      <c r="H1424" s="24" t="s">
        <v>593</v>
      </c>
      <c r="I1424" s="24" t="s">
        <v>809</v>
      </c>
      <c r="J1424" s="14" t="s">
        <v>29</v>
      </c>
      <c r="K1424" s="15" t="s">
        <v>30</v>
      </c>
      <c r="L1424" s="57"/>
      <c r="M1424" s="14"/>
      <c r="N1424" s="14" t="s">
        <v>84</v>
      </c>
      <c r="O1424" s="14"/>
      <c r="P1424" s="15" t="s">
        <v>870</v>
      </c>
      <c r="Q1424" s="16">
        <v>9499</v>
      </c>
      <c r="R1424" s="17">
        <v>40</v>
      </c>
      <c r="S1424" s="18">
        <v>6554.3099999999995</v>
      </c>
      <c r="T1424" s="19" t="s">
        <v>36</v>
      </c>
      <c r="U1424" s="20" t="s">
        <v>600</v>
      </c>
      <c r="V1424" s="22">
        <v>40</v>
      </c>
      <c r="W1424" s="22">
        <v>9</v>
      </c>
      <c r="X1424" s="23"/>
    </row>
    <row r="1425" spans="1:24" s="1" customFormat="1" ht="36.950000000000003" customHeight="1" x14ac:dyDescent="0.3">
      <c r="A1425" s="24" t="s">
        <v>23</v>
      </c>
      <c r="B1425" s="24" t="s">
        <v>1763</v>
      </c>
      <c r="C1425" s="12" t="s">
        <v>1764</v>
      </c>
      <c r="D1425" s="55"/>
      <c r="E1425" s="39" t="str">
        <f>HYPERLINK("https://www.google.ru/search?q=6000597-016&amp;newwindow=1&amp;tbm=isch","Еще фото")</f>
        <v>Еще фото</v>
      </c>
      <c r="F1425" s="13" t="s">
        <v>98</v>
      </c>
      <c r="G1425" s="24" t="s">
        <v>808</v>
      </c>
      <c r="H1425" s="24" t="s">
        <v>593</v>
      </c>
      <c r="I1425" s="24" t="s">
        <v>809</v>
      </c>
      <c r="J1425" s="14" t="s">
        <v>29</v>
      </c>
      <c r="K1425" s="15" t="s">
        <v>30</v>
      </c>
      <c r="L1425" s="58"/>
      <c r="M1425" s="14"/>
      <c r="N1425" s="14" t="s">
        <v>84</v>
      </c>
      <c r="O1425" s="14"/>
      <c r="P1425" s="15" t="s">
        <v>870</v>
      </c>
      <c r="Q1425" s="16">
        <v>9499</v>
      </c>
      <c r="R1425" s="17">
        <v>40</v>
      </c>
      <c r="S1425" s="18">
        <v>6554.3099999999995</v>
      </c>
      <c r="T1425" s="19" t="s">
        <v>36</v>
      </c>
      <c r="U1425" s="20" t="s">
        <v>605</v>
      </c>
      <c r="V1425" s="28">
        <v>43.5</v>
      </c>
      <c r="W1425" s="22">
        <v>2</v>
      </c>
      <c r="X1425" s="23"/>
    </row>
    <row r="1426" spans="1:24" s="1" customFormat="1" ht="108" customHeight="1" x14ac:dyDescent="0.3">
      <c r="A1426" s="11" t="s">
        <v>23</v>
      </c>
      <c r="B1426" s="11" t="s">
        <v>1763</v>
      </c>
      <c r="C1426" s="12" t="s">
        <v>1766</v>
      </c>
      <c r="D1426" s="25"/>
      <c r="E1426" s="39" t="str">
        <f>HYPERLINK("https://www.google.ru/search?q=6000597-103&amp;newwindow=1&amp;tbm=isch","Еще фото")</f>
        <v>Еще фото</v>
      </c>
      <c r="F1426" s="13"/>
      <c r="G1426" s="11" t="s">
        <v>808</v>
      </c>
      <c r="H1426" s="11" t="s">
        <v>593</v>
      </c>
      <c r="I1426" s="14" t="s">
        <v>809</v>
      </c>
      <c r="J1426" s="14" t="s">
        <v>29</v>
      </c>
      <c r="K1426" s="15" t="s">
        <v>30</v>
      </c>
      <c r="L1426" s="14" t="s">
        <v>1765</v>
      </c>
      <c r="M1426" s="14"/>
      <c r="N1426" s="14" t="s">
        <v>74</v>
      </c>
      <c r="O1426" s="14"/>
      <c r="P1426" s="15" t="s">
        <v>1438</v>
      </c>
      <c r="Q1426" s="16">
        <v>9499</v>
      </c>
      <c r="R1426" s="17">
        <v>40</v>
      </c>
      <c r="S1426" s="18">
        <v>6554.3099999999995</v>
      </c>
      <c r="T1426" s="19" t="s">
        <v>36</v>
      </c>
      <c r="U1426" s="20" t="s">
        <v>600</v>
      </c>
      <c r="V1426" s="22">
        <v>40</v>
      </c>
      <c r="W1426" s="22">
        <v>1</v>
      </c>
      <c r="X1426" s="23"/>
    </row>
    <row r="1427" spans="1:24" s="1" customFormat="1" ht="21" customHeight="1" x14ac:dyDescent="0.3">
      <c r="A1427" s="11" t="s">
        <v>23</v>
      </c>
      <c r="B1427" s="11" t="s">
        <v>1767</v>
      </c>
      <c r="C1427" s="26" t="s">
        <v>1768</v>
      </c>
      <c r="D1427" s="53"/>
      <c r="E1427" s="39" t="str">
        <f>HYPERLINK("https://www.google.ru/search?q=6000760-001&amp;newwindow=1&amp;tbm=isch","Еще фото")</f>
        <v>Еще фото</v>
      </c>
      <c r="F1427" s="13" t="s">
        <v>98</v>
      </c>
      <c r="G1427" s="11" t="s">
        <v>808</v>
      </c>
      <c r="H1427" s="11" t="s">
        <v>593</v>
      </c>
      <c r="I1427" s="14" t="s">
        <v>809</v>
      </c>
      <c r="J1427" s="14" t="s">
        <v>29</v>
      </c>
      <c r="K1427" s="15" t="s">
        <v>64</v>
      </c>
      <c r="L1427" s="56" t="s">
        <v>1769</v>
      </c>
      <c r="M1427" s="14"/>
      <c r="N1427" s="14" t="s">
        <v>33</v>
      </c>
      <c r="O1427" s="14"/>
      <c r="P1427" s="15" t="s">
        <v>870</v>
      </c>
      <c r="Q1427" s="16">
        <v>8699</v>
      </c>
      <c r="R1427" s="17">
        <v>40</v>
      </c>
      <c r="S1427" s="18">
        <v>6002.3099999999995</v>
      </c>
      <c r="T1427" s="19" t="s">
        <v>36</v>
      </c>
      <c r="U1427" s="20" t="s">
        <v>820</v>
      </c>
      <c r="V1427" s="22">
        <v>36</v>
      </c>
      <c r="W1427" s="22">
        <v>5</v>
      </c>
      <c r="X1427" s="23"/>
    </row>
    <row r="1428" spans="1:24" s="1" customFormat="1" ht="21" customHeight="1" x14ac:dyDescent="0.3">
      <c r="A1428" s="24" t="s">
        <v>23</v>
      </c>
      <c r="B1428" s="24" t="s">
        <v>1767</v>
      </c>
      <c r="C1428" s="27" t="s">
        <v>1768</v>
      </c>
      <c r="D1428" s="54"/>
      <c r="E1428" s="39" t="str">
        <f>HYPERLINK("https://www.google.ru/search?q=6000760-001&amp;newwindow=1&amp;tbm=isch","Еще фото")</f>
        <v>Еще фото</v>
      </c>
      <c r="F1428" s="13" t="s">
        <v>98</v>
      </c>
      <c r="G1428" s="24" t="s">
        <v>808</v>
      </c>
      <c r="H1428" s="24" t="s">
        <v>593</v>
      </c>
      <c r="I1428" s="24" t="s">
        <v>809</v>
      </c>
      <c r="J1428" s="14" t="s">
        <v>29</v>
      </c>
      <c r="K1428" s="15" t="s">
        <v>64</v>
      </c>
      <c r="L1428" s="57"/>
      <c r="M1428" s="14"/>
      <c r="N1428" s="14" t="s">
        <v>33</v>
      </c>
      <c r="O1428" s="14"/>
      <c r="P1428" s="15" t="s">
        <v>870</v>
      </c>
      <c r="Q1428" s="16">
        <v>8699</v>
      </c>
      <c r="R1428" s="17">
        <v>40</v>
      </c>
      <c r="S1428" s="18">
        <v>6002.3099999999995</v>
      </c>
      <c r="T1428" s="19" t="s">
        <v>36</v>
      </c>
      <c r="U1428" s="20" t="s">
        <v>814</v>
      </c>
      <c r="V1428" s="28">
        <v>36.5</v>
      </c>
      <c r="W1428" s="22">
        <v>9</v>
      </c>
      <c r="X1428" s="23"/>
    </row>
    <row r="1429" spans="1:24" s="1" customFormat="1" ht="21" customHeight="1" x14ac:dyDescent="0.3">
      <c r="A1429" s="24" t="s">
        <v>23</v>
      </c>
      <c r="B1429" s="24" t="s">
        <v>1767</v>
      </c>
      <c r="C1429" s="27" t="s">
        <v>1768</v>
      </c>
      <c r="D1429" s="54"/>
      <c r="E1429" s="39" t="str">
        <f>HYPERLINK("https://www.google.ru/search?q=6000760-001&amp;newwindow=1&amp;tbm=isch","Еще фото")</f>
        <v>Еще фото</v>
      </c>
      <c r="F1429" s="13" t="s">
        <v>98</v>
      </c>
      <c r="G1429" s="24" t="s">
        <v>808</v>
      </c>
      <c r="H1429" s="24" t="s">
        <v>593</v>
      </c>
      <c r="I1429" s="24" t="s">
        <v>809</v>
      </c>
      <c r="J1429" s="14" t="s">
        <v>29</v>
      </c>
      <c r="K1429" s="15" t="s">
        <v>64</v>
      </c>
      <c r="L1429" s="57"/>
      <c r="M1429" s="14"/>
      <c r="N1429" s="14" t="s">
        <v>33</v>
      </c>
      <c r="O1429" s="14"/>
      <c r="P1429" s="15" t="s">
        <v>870</v>
      </c>
      <c r="Q1429" s="16">
        <v>8699</v>
      </c>
      <c r="R1429" s="17">
        <v>40</v>
      </c>
      <c r="S1429" s="18">
        <v>6002.3099999999995</v>
      </c>
      <c r="T1429" s="19" t="s">
        <v>36</v>
      </c>
      <c r="U1429" s="20" t="s">
        <v>598</v>
      </c>
      <c r="V1429" s="22">
        <v>37</v>
      </c>
      <c r="W1429" s="22">
        <v>4</v>
      </c>
      <c r="X1429" s="23"/>
    </row>
    <row r="1430" spans="1:24" s="1" customFormat="1" ht="21" customHeight="1" x14ac:dyDescent="0.3">
      <c r="A1430" s="24" t="s">
        <v>23</v>
      </c>
      <c r="B1430" s="24" t="s">
        <v>1767</v>
      </c>
      <c r="C1430" s="27" t="s">
        <v>1768</v>
      </c>
      <c r="D1430" s="54"/>
      <c r="E1430" s="39" t="str">
        <f>HYPERLINK("https://www.google.ru/search?q=6000760-001&amp;newwindow=1&amp;tbm=isch","Еще фото")</f>
        <v>Еще фото</v>
      </c>
      <c r="F1430" s="13" t="s">
        <v>98</v>
      </c>
      <c r="G1430" s="24" t="s">
        <v>808</v>
      </c>
      <c r="H1430" s="24" t="s">
        <v>593</v>
      </c>
      <c r="I1430" s="24" t="s">
        <v>809</v>
      </c>
      <c r="J1430" s="14" t="s">
        <v>29</v>
      </c>
      <c r="K1430" s="15" t="s">
        <v>64</v>
      </c>
      <c r="L1430" s="57"/>
      <c r="M1430" s="14"/>
      <c r="N1430" s="14" t="s">
        <v>33</v>
      </c>
      <c r="O1430" s="14"/>
      <c r="P1430" s="15" t="s">
        <v>870</v>
      </c>
      <c r="Q1430" s="16">
        <v>8699</v>
      </c>
      <c r="R1430" s="17">
        <v>40</v>
      </c>
      <c r="S1430" s="18">
        <v>6002.3099999999995</v>
      </c>
      <c r="T1430" s="19" t="s">
        <v>36</v>
      </c>
      <c r="U1430" s="20" t="s">
        <v>599</v>
      </c>
      <c r="V1430" s="28">
        <v>37.5</v>
      </c>
      <c r="W1430" s="22">
        <v>4</v>
      </c>
      <c r="X1430" s="23"/>
    </row>
    <row r="1431" spans="1:24" s="1" customFormat="1" ht="32.1" customHeight="1" x14ac:dyDescent="0.3">
      <c r="A1431" s="24" t="s">
        <v>23</v>
      </c>
      <c r="B1431" s="24" t="s">
        <v>1767</v>
      </c>
      <c r="C1431" s="27" t="s">
        <v>1768</v>
      </c>
      <c r="D1431" s="55"/>
      <c r="E1431" s="39" t="str">
        <f>HYPERLINK("https://www.google.ru/search?q=6000760-001&amp;newwindow=1&amp;tbm=isch","Еще фото")</f>
        <v>Еще фото</v>
      </c>
      <c r="F1431" s="13" t="s">
        <v>98</v>
      </c>
      <c r="G1431" s="24" t="s">
        <v>808</v>
      </c>
      <c r="H1431" s="24" t="s">
        <v>593</v>
      </c>
      <c r="I1431" s="24" t="s">
        <v>809</v>
      </c>
      <c r="J1431" s="14" t="s">
        <v>29</v>
      </c>
      <c r="K1431" s="15" t="s">
        <v>64</v>
      </c>
      <c r="L1431" s="58"/>
      <c r="M1431" s="14"/>
      <c r="N1431" s="14" t="s">
        <v>33</v>
      </c>
      <c r="O1431" s="14"/>
      <c r="P1431" s="15" t="s">
        <v>870</v>
      </c>
      <c r="Q1431" s="16">
        <v>8699</v>
      </c>
      <c r="R1431" s="17">
        <v>40</v>
      </c>
      <c r="S1431" s="18">
        <v>6002.3099999999995</v>
      </c>
      <c r="T1431" s="19" t="s">
        <v>36</v>
      </c>
      <c r="U1431" s="20" t="s">
        <v>600</v>
      </c>
      <c r="V1431" s="22">
        <v>38</v>
      </c>
      <c r="W1431" s="22">
        <v>8</v>
      </c>
      <c r="X1431" s="23"/>
    </row>
    <row r="1432" spans="1:24" s="1" customFormat="1" ht="21" customHeight="1" x14ac:dyDescent="0.3">
      <c r="A1432" s="11" t="s">
        <v>23</v>
      </c>
      <c r="B1432" s="11" t="s">
        <v>1767</v>
      </c>
      <c r="C1432" s="26" t="s">
        <v>1770</v>
      </c>
      <c r="D1432" s="53"/>
      <c r="E1432" s="39" t="str">
        <f>HYPERLINK("https://www.google.ru/search?q=6000760-014&amp;newwindow=1&amp;tbm=isch","Еще фото")</f>
        <v>Еще фото</v>
      </c>
      <c r="F1432" s="13" t="s">
        <v>98</v>
      </c>
      <c r="G1432" s="11" t="s">
        <v>808</v>
      </c>
      <c r="H1432" s="11" t="s">
        <v>593</v>
      </c>
      <c r="I1432" s="14" t="s">
        <v>809</v>
      </c>
      <c r="J1432" s="14" t="s">
        <v>29</v>
      </c>
      <c r="K1432" s="15" t="s">
        <v>64</v>
      </c>
      <c r="L1432" s="56" t="s">
        <v>1771</v>
      </c>
      <c r="M1432" s="14"/>
      <c r="N1432" s="14" t="s">
        <v>84</v>
      </c>
      <c r="O1432" s="14"/>
      <c r="P1432" s="15" t="s">
        <v>1204</v>
      </c>
      <c r="Q1432" s="16">
        <v>8499</v>
      </c>
      <c r="R1432" s="17">
        <v>40</v>
      </c>
      <c r="S1432" s="18">
        <v>5864.3099999999995</v>
      </c>
      <c r="T1432" s="19" t="s">
        <v>36</v>
      </c>
      <c r="U1432" s="20" t="s">
        <v>820</v>
      </c>
      <c r="V1432" s="22">
        <v>36</v>
      </c>
      <c r="W1432" s="22">
        <v>3</v>
      </c>
      <c r="X1432" s="23"/>
    </row>
    <row r="1433" spans="1:24" s="1" customFormat="1" ht="21" customHeight="1" x14ac:dyDescent="0.3">
      <c r="A1433" s="24" t="s">
        <v>23</v>
      </c>
      <c r="B1433" s="24" t="s">
        <v>1767</v>
      </c>
      <c r="C1433" s="27" t="s">
        <v>1770</v>
      </c>
      <c r="D1433" s="54"/>
      <c r="E1433" s="39" t="str">
        <f>HYPERLINK("https://www.google.ru/search?q=6000760-014&amp;newwindow=1&amp;tbm=isch","Еще фото")</f>
        <v>Еще фото</v>
      </c>
      <c r="F1433" s="13" t="s">
        <v>98</v>
      </c>
      <c r="G1433" s="24" t="s">
        <v>808</v>
      </c>
      <c r="H1433" s="24" t="s">
        <v>593</v>
      </c>
      <c r="I1433" s="24" t="s">
        <v>809</v>
      </c>
      <c r="J1433" s="14" t="s">
        <v>29</v>
      </c>
      <c r="K1433" s="15" t="s">
        <v>64</v>
      </c>
      <c r="L1433" s="57"/>
      <c r="M1433" s="14"/>
      <c r="N1433" s="14" t="s">
        <v>84</v>
      </c>
      <c r="O1433" s="14"/>
      <c r="P1433" s="15" t="s">
        <v>1204</v>
      </c>
      <c r="Q1433" s="16">
        <v>8499</v>
      </c>
      <c r="R1433" s="17">
        <v>40</v>
      </c>
      <c r="S1433" s="18">
        <v>5864.3099999999995</v>
      </c>
      <c r="T1433" s="19" t="s">
        <v>36</v>
      </c>
      <c r="U1433" s="20" t="s">
        <v>814</v>
      </c>
      <c r="V1433" s="28">
        <v>36.5</v>
      </c>
      <c r="W1433" s="22">
        <v>7</v>
      </c>
      <c r="X1433" s="23"/>
    </row>
    <row r="1434" spans="1:24" s="1" customFormat="1" ht="21" customHeight="1" x14ac:dyDescent="0.3">
      <c r="A1434" s="24" t="s">
        <v>23</v>
      </c>
      <c r="B1434" s="24" t="s">
        <v>1767</v>
      </c>
      <c r="C1434" s="27" t="s">
        <v>1770</v>
      </c>
      <c r="D1434" s="54"/>
      <c r="E1434" s="39" t="str">
        <f>HYPERLINK("https://www.google.ru/search?q=6000760-014&amp;newwindow=1&amp;tbm=isch","Еще фото")</f>
        <v>Еще фото</v>
      </c>
      <c r="F1434" s="13" t="s">
        <v>98</v>
      </c>
      <c r="G1434" s="24" t="s">
        <v>808</v>
      </c>
      <c r="H1434" s="24" t="s">
        <v>593</v>
      </c>
      <c r="I1434" s="24" t="s">
        <v>809</v>
      </c>
      <c r="J1434" s="14" t="s">
        <v>29</v>
      </c>
      <c r="K1434" s="15" t="s">
        <v>64</v>
      </c>
      <c r="L1434" s="57"/>
      <c r="M1434" s="14"/>
      <c r="N1434" s="14" t="s">
        <v>84</v>
      </c>
      <c r="O1434" s="14"/>
      <c r="P1434" s="15" t="s">
        <v>1204</v>
      </c>
      <c r="Q1434" s="16">
        <v>8499</v>
      </c>
      <c r="R1434" s="17">
        <v>40</v>
      </c>
      <c r="S1434" s="18">
        <v>5864.3099999999995</v>
      </c>
      <c r="T1434" s="19" t="s">
        <v>36</v>
      </c>
      <c r="U1434" s="20" t="s">
        <v>598</v>
      </c>
      <c r="V1434" s="22">
        <v>37</v>
      </c>
      <c r="W1434" s="22">
        <v>10</v>
      </c>
      <c r="X1434" s="23"/>
    </row>
    <row r="1435" spans="1:24" s="1" customFormat="1" ht="21" customHeight="1" x14ac:dyDescent="0.3">
      <c r="A1435" s="24" t="s">
        <v>23</v>
      </c>
      <c r="B1435" s="24" t="s">
        <v>1767</v>
      </c>
      <c r="C1435" s="27" t="s">
        <v>1770</v>
      </c>
      <c r="D1435" s="54"/>
      <c r="E1435" s="39" t="str">
        <f>HYPERLINK("https://www.google.ru/search?q=6000760-014&amp;newwindow=1&amp;tbm=isch","Еще фото")</f>
        <v>Еще фото</v>
      </c>
      <c r="F1435" s="13" t="s">
        <v>98</v>
      </c>
      <c r="G1435" s="24" t="s">
        <v>808</v>
      </c>
      <c r="H1435" s="24" t="s">
        <v>593</v>
      </c>
      <c r="I1435" s="24" t="s">
        <v>809</v>
      </c>
      <c r="J1435" s="14" t="s">
        <v>29</v>
      </c>
      <c r="K1435" s="15" t="s">
        <v>64</v>
      </c>
      <c r="L1435" s="57"/>
      <c r="M1435" s="14"/>
      <c r="N1435" s="14" t="s">
        <v>84</v>
      </c>
      <c r="O1435" s="14"/>
      <c r="P1435" s="15" t="s">
        <v>1204</v>
      </c>
      <c r="Q1435" s="16">
        <v>8499</v>
      </c>
      <c r="R1435" s="17">
        <v>40</v>
      </c>
      <c r="S1435" s="18">
        <v>5864.3099999999995</v>
      </c>
      <c r="T1435" s="19" t="s">
        <v>36</v>
      </c>
      <c r="U1435" s="20" t="s">
        <v>599</v>
      </c>
      <c r="V1435" s="28">
        <v>37.5</v>
      </c>
      <c r="W1435" s="22">
        <v>9</v>
      </c>
      <c r="X1435" s="23"/>
    </row>
    <row r="1436" spans="1:24" s="1" customFormat="1" ht="32.1" customHeight="1" x14ac:dyDescent="0.3">
      <c r="A1436" s="24" t="s">
        <v>23</v>
      </c>
      <c r="B1436" s="24" t="s">
        <v>1767</v>
      </c>
      <c r="C1436" s="27" t="s">
        <v>1770</v>
      </c>
      <c r="D1436" s="55"/>
      <c r="E1436" s="39" t="str">
        <f>HYPERLINK("https://www.google.ru/search?q=6000760-014&amp;newwindow=1&amp;tbm=isch","Еще фото")</f>
        <v>Еще фото</v>
      </c>
      <c r="F1436" s="13" t="s">
        <v>98</v>
      </c>
      <c r="G1436" s="24" t="s">
        <v>808</v>
      </c>
      <c r="H1436" s="24" t="s">
        <v>593</v>
      </c>
      <c r="I1436" s="24" t="s">
        <v>809</v>
      </c>
      <c r="J1436" s="14" t="s">
        <v>29</v>
      </c>
      <c r="K1436" s="15" t="s">
        <v>64</v>
      </c>
      <c r="L1436" s="58"/>
      <c r="M1436" s="14"/>
      <c r="N1436" s="14" t="s">
        <v>84</v>
      </c>
      <c r="O1436" s="14"/>
      <c r="P1436" s="15" t="s">
        <v>1204</v>
      </c>
      <c r="Q1436" s="16">
        <v>8499</v>
      </c>
      <c r="R1436" s="17">
        <v>40</v>
      </c>
      <c r="S1436" s="18">
        <v>5864.3099999999995</v>
      </c>
      <c r="T1436" s="19" t="s">
        <v>36</v>
      </c>
      <c r="U1436" s="20" t="s">
        <v>600</v>
      </c>
      <c r="V1436" s="22">
        <v>38</v>
      </c>
      <c r="W1436" s="22">
        <v>8</v>
      </c>
      <c r="X1436" s="23"/>
    </row>
    <row r="1437" spans="1:24" s="1" customFormat="1" ht="26.1" customHeight="1" x14ac:dyDescent="0.3">
      <c r="A1437" s="11" t="s">
        <v>23</v>
      </c>
      <c r="B1437" s="11" t="s">
        <v>1767</v>
      </c>
      <c r="C1437" s="12" t="s">
        <v>1772</v>
      </c>
      <c r="D1437" s="53"/>
      <c r="E1437" s="39" t="str">
        <f>HYPERLINK("https://www.google.ru/search?q=6000760-100&amp;newwindow=1&amp;tbm=isch","Еще фото")</f>
        <v>Еще фото</v>
      </c>
      <c r="F1437" s="13"/>
      <c r="G1437" s="11" t="s">
        <v>808</v>
      </c>
      <c r="H1437" s="11" t="s">
        <v>593</v>
      </c>
      <c r="I1437" s="14" t="s">
        <v>809</v>
      </c>
      <c r="J1437" s="14" t="s">
        <v>29</v>
      </c>
      <c r="K1437" s="15" t="s">
        <v>64</v>
      </c>
      <c r="L1437" s="56" t="s">
        <v>1771</v>
      </c>
      <c r="M1437" s="14"/>
      <c r="N1437" s="14" t="s">
        <v>74</v>
      </c>
      <c r="O1437" s="14"/>
      <c r="P1437" s="15" t="s">
        <v>919</v>
      </c>
      <c r="Q1437" s="16">
        <v>8499</v>
      </c>
      <c r="R1437" s="17">
        <v>40</v>
      </c>
      <c r="S1437" s="18">
        <v>5864.3099999999995</v>
      </c>
      <c r="T1437" s="19" t="s">
        <v>36</v>
      </c>
      <c r="U1437" s="20" t="s">
        <v>820</v>
      </c>
      <c r="V1437" s="22">
        <v>36</v>
      </c>
      <c r="W1437" s="22">
        <v>2</v>
      </c>
      <c r="X1437" s="23"/>
    </row>
    <row r="1438" spans="1:24" s="1" customFormat="1" ht="26.1" customHeight="1" x14ac:dyDescent="0.3">
      <c r="A1438" s="24" t="s">
        <v>23</v>
      </c>
      <c r="B1438" s="24" t="s">
        <v>1767</v>
      </c>
      <c r="C1438" s="12" t="s">
        <v>1772</v>
      </c>
      <c r="D1438" s="54"/>
      <c r="E1438" s="39" t="str">
        <f>HYPERLINK("https://www.google.ru/search?q=6000760-100&amp;newwindow=1&amp;tbm=isch","Еще фото")</f>
        <v>Еще фото</v>
      </c>
      <c r="F1438" s="13"/>
      <c r="G1438" s="24" t="s">
        <v>808</v>
      </c>
      <c r="H1438" s="24" t="s">
        <v>593</v>
      </c>
      <c r="I1438" s="24" t="s">
        <v>809</v>
      </c>
      <c r="J1438" s="14" t="s">
        <v>29</v>
      </c>
      <c r="K1438" s="15" t="s">
        <v>64</v>
      </c>
      <c r="L1438" s="57"/>
      <c r="M1438" s="14"/>
      <c r="N1438" s="14" t="s">
        <v>74</v>
      </c>
      <c r="O1438" s="14"/>
      <c r="P1438" s="15" t="s">
        <v>919</v>
      </c>
      <c r="Q1438" s="16">
        <v>8499</v>
      </c>
      <c r="R1438" s="17">
        <v>40</v>
      </c>
      <c r="S1438" s="18">
        <v>5864.3099999999995</v>
      </c>
      <c r="T1438" s="19" t="s">
        <v>36</v>
      </c>
      <c r="U1438" s="20" t="s">
        <v>814</v>
      </c>
      <c r="V1438" s="28">
        <v>36.5</v>
      </c>
      <c r="W1438" s="22">
        <v>11</v>
      </c>
      <c r="X1438" s="23"/>
    </row>
    <row r="1439" spans="1:24" s="1" customFormat="1" ht="26.1" customHeight="1" x14ac:dyDescent="0.3">
      <c r="A1439" s="24" t="s">
        <v>23</v>
      </c>
      <c r="B1439" s="24" t="s">
        <v>1767</v>
      </c>
      <c r="C1439" s="12" t="s">
        <v>1772</v>
      </c>
      <c r="D1439" s="54"/>
      <c r="E1439" s="39" t="str">
        <f>HYPERLINK("https://www.google.ru/search?q=6000760-100&amp;newwindow=1&amp;tbm=isch","Еще фото")</f>
        <v>Еще фото</v>
      </c>
      <c r="F1439" s="13"/>
      <c r="G1439" s="24" t="s">
        <v>808</v>
      </c>
      <c r="H1439" s="24" t="s">
        <v>593</v>
      </c>
      <c r="I1439" s="24" t="s">
        <v>809</v>
      </c>
      <c r="J1439" s="14" t="s">
        <v>29</v>
      </c>
      <c r="K1439" s="15" t="s">
        <v>64</v>
      </c>
      <c r="L1439" s="57"/>
      <c r="M1439" s="14"/>
      <c r="N1439" s="14" t="s">
        <v>74</v>
      </c>
      <c r="O1439" s="14"/>
      <c r="P1439" s="15" t="s">
        <v>919</v>
      </c>
      <c r="Q1439" s="16">
        <v>8499</v>
      </c>
      <c r="R1439" s="17">
        <v>40</v>
      </c>
      <c r="S1439" s="18">
        <v>5864.3099999999995</v>
      </c>
      <c r="T1439" s="19" t="s">
        <v>36</v>
      </c>
      <c r="U1439" s="20" t="s">
        <v>598</v>
      </c>
      <c r="V1439" s="22">
        <v>37</v>
      </c>
      <c r="W1439" s="22">
        <v>11</v>
      </c>
      <c r="X1439" s="23"/>
    </row>
    <row r="1440" spans="1:24" s="1" customFormat="1" ht="26.1" customHeight="1" x14ac:dyDescent="0.3">
      <c r="A1440" s="24" t="s">
        <v>23</v>
      </c>
      <c r="B1440" s="24" t="s">
        <v>1767</v>
      </c>
      <c r="C1440" s="12" t="s">
        <v>1772</v>
      </c>
      <c r="D1440" s="55"/>
      <c r="E1440" s="39" t="str">
        <f>HYPERLINK("https://www.google.ru/search?q=6000760-100&amp;newwindow=1&amp;tbm=isch","Еще фото")</f>
        <v>Еще фото</v>
      </c>
      <c r="F1440" s="13"/>
      <c r="G1440" s="24" t="s">
        <v>808</v>
      </c>
      <c r="H1440" s="24" t="s">
        <v>593</v>
      </c>
      <c r="I1440" s="24" t="s">
        <v>809</v>
      </c>
      <c r="J1440" s="14" t="s">
        <v>29</v>
      </c>
      <c r="K1440" s="15" t="s">
        <v>64</v>
      </c>
      <c r="L1440" s="58"/>
      <c r="M1440" s="14"/>
      <c r="N1440" s="14" t="s">
        <v>74</v>
      </c>
      <c r="O1440" s="14"/>
      <c r="P1440" s="15" t="s">
        <v>919</v>
      </c>
      <c r="Q1440" s="16">
        <v>8499</v>
      </c>
      <c r="R1440" s="17">
        <v>40</v>
      </c>
      <c r="S1440" s="18">
        <v>5864.3099999999995</v>
      </c>
      <c r="T1440" s="19" t="s">
        <v>36</v>
      </c>
      <c r="U1440" s="20" t="s">
        <v>599</v>
      </c>
      <c r="V1440" s="28">
        <v>37.5</v>
      </c>
      <c r="W1440" s="22">
        <v>5</v>
      </c>
      <c r="X1440" s="23"/>
    </row>
    <row r="1441" spans="1:24" s="1" customFormat="1" ht="17.100000000000001" customHeight="1" x14ac:dyDescent="0.3">
      <c r="A1441" s="11" t="s">
        <v>23</v>
      </c>
      <c r="B1441" s="11" t="s">
        <v>961</v>
      </c>
      <c r="C1441" s="12" t="s">
        <v>1773</v>
      </c>
      <c r="D1441" s="53"/>
      <c r="E1441" s="39" t="str">
        <f t="shared" ref="E1441:E1446" si="34">HYPERLINK("https://www.google.ru/search?q=6001585-100&amp;newwindow=1&amp;tbm=isch","Еще фото")</f>
        <v>Еще фото</v>
      </c>
      <c r="F1441" s="13" t="s">
        <v>310</v>
      </c>
      <c r="G1441" s="11" t="s">
        <v>808</v>
      </c>
      <c r="H1441" s="11" t="s">
        <v>593</v>
      </c>
      <c r="I1441" s="14" t="s">
        <v>809</v>
      </c>
      <c r="J1441" s="14" t="s">
        <v>892</v>
      </c>
      <c r="K1441" s="15" t="s">
        <v>578</v>
      </c>
      <c r="L1441" s="56" t="s">
        <v>963</v>
      </c>
      <c r="M1441" s="14"/>
      <c r="N1441" s="14" t="s">
        <v>74</v>
      </c>
      <c r="O1441" s="14"/>
      <c r="P1441" s="15" t="s">
        <v>1753</v>
      </c>
      <c r="Q1441" s="16">
        <v>10299</v>
      </c>
      <c r="R1441" s="17">
        <v>40</v>
      </c>
      <c r="S1441" s="18">
        <v>7106.3099999999986</v>
      </c>
      <c r="T1441" s="19" t="s">
        <v>36</v>
      </c>
      <c r="U1441" s="20" t="s">
        <v>945</v>
      </c>
      <c r="V1441" s="22">
        <v>41</v>
      </c>
      <c r="W1441" s="22">
        <v>3</v>
      </c>
      <c r="X1441" s="23"/>
    </row>
    <row r="1442" spans="1:24" s="1" customFormat="1" ht="17.100000000000001" customHeight="1" x14ac:dyDescent="0.3">
      <c r="A1442" s="24" t="s">
        <v>23</v>
      </c>
      <c r="B1442" s="24" t="s">
        <v>961</v>
      </c>
      <c r="C1442" s="12" t="s">
        <v>1773</v>
      </c>
      <c r="D1442" s="54"/>
      <c r="E1442" s="39" t="str">
        <f t="shared" si="34"/>
        <v>Еще фото</v>
      </c>
      <c r="F1442" s="13" t="s">
        <v>310</v>
      </c>
      <c r="G1442" s="24" t="s">
        <v>808</v>
      </c>
      <c r="H1442" s="24" t="s">
        <v>593</v>
      </c>
      <c r="I1442" s="24" t="s">
        <v>809</v>
      </c>
      <c r="J1442" s="14" t="s">
        <v>892</v>
      </c>
      <c r="K1442" s="15" t="s">
        <v>578</v>
      </c>
      <c r="L1442" s="57"/>
      <c r="M1442" s="14"/>
      <c r="N1442" s="14" t="s">
        <v>74</v>
      </c>
      <c r="O1442" s="14"/>
      <c r="P1442" s="15" t="s">
        <v>1753</v>
      </c>
      <c r="Q1442" s="16">
        <v>10299</v>
      </c>
      <c r="R1442" s="17">
        <v>40</v>
      </c>
      <c r="S1442" s="18">
        <v>7106.3099999999986</v>
      </c>
      <c r="T1442" s="19" t="s">
        <v>36</v>
      </c>
      <c r="U1442" s="20" t="s">
        <v>875</v>
      </c>
      <c r="V1442" s="28">
        <v>41.5</v>
      </c>
      <c r="W1442" s="22">
        <v>10</v>
      </c>
      <c r="X1442" s="23"/>
    </row>
    <row r="1443" spans="1:24" s="1" customFormat="1" ht="17.100000000000001" customHeight="1" x14ac:dyDescent="0.3">
      <c r="A1443" s="24" t="s">
        <v>23</v>
      </c>
      <c r="B1443" s="24" t="s">
        <v>961</v>
      </c>
      <c r="C1443" s="12" t="s">
        <v>1773</v>
      </c>
      <c r="D1443" s="54"/>
      <c r="E1443" s="39" t="str">
        <f t="shared" si="34"/>
        <v>Еще фото</v>
      </c>
      <c r="F1443" s="13" t="s">
        <v>310</v>
      </c>
      <c r="G1443" s="24" t="s">
        <v>808</v>
      </c>
      <c r="H1443" s="24" t="s">
        <v>593</v>
      </c>
      <c r="I1443" s="24" t="s">
        <v>809</v>
      </c>
      <c r="J1443" s="14" t="s">
        <v>892</v>
      </c>
      <c r="K1443" s="15" t="s">
        <v>578</v>
      </c>
      <c r="L1443" s="57"/>
      <c r="M1443" s="14"/>
      <c r="N1443" s="14" t="s">
        <v>74</v>
      </c>
      <c r="O1443" s="14"/>
      <c r="P1443" s="15" t="s">
        <v>1753</v>
      </c>
      <c r="Q1443" s="16">
        <v>10299</v>
      </c>
      <c r="R1443" s="17">
        <v>40</v>
      </c>
      <c r="S1443" s="18">
        <v>7106.3099999999986</v>
      </c>
      <c r="T1443" s="19" t="s">
        <v>36</v>
      </c>
      <c r="U1443" s="20" t="s">
        <v>876</v>
      </c>
      <c r="V1443" s="22">
        <v>42</v>
      </c>
      <c r="W1443" s="22">
        <v>12</v>
      </c>
      <c r="X1443" s="23"/>
    </row>
    <row r="1444" spans="1:24" s="1" customFormat="1" ht="17.100000000000001" customHeight="1" x14ac:dyDescent="0.3">
      <c r="A1444" s="24" t="s">
        <v>23</v>
      </c>
      <c r="B1444" s="24" t="s">
        <v>961</v>
      </c>
      <c r="C1444" s="12" t="s">
        <v>1773</v>
      </c>
      <c r="D1444" s="54"/>
      <c r="E1444" s="39" t="str">
        <f t="shared" si="34"/>
        <v>Еще фото</v>
      </c>
      <c r="F1444" s="13" t="s">
        <v>310</v>
      </c>
      <c r="G1444" s="24" t="s">
        <v>808</v>
      </c>
      <c r="H1444" s="24" t="s">
        <v>593</v>
      </c>
      <c r="I1444" s="24" t="s">
        <v>809</v>
      </c>
      <c r="J1444" s="14" t="s">
        <v>892</v>
      </c>
      <c r="K1444" s="15" t="s">
        <v>578</v>
      </c>
      <c r="L1444" s="57"/>
      <c r="M1444" s="14"/>
      <c r="N1444" s="14" t="s">
        <v>74</v>
      </c>
      <c r="O1444" s="14"/>
      <c r="P1444" s="15" t="s">
        <v>1753</v>
      </c>
      <c r="Q1444" s="16">
        <v>10299</v>
      </c>
      <c r="R1444" s="17">
        <v>40</v>
      </c>
      <c r="S1444" s="18">
        <v>7106.3099999999986</v>
      </c>
      <c r="T1444" s="19" t="s">
        <v>36</v>
      </c>
      <c r="U1444" s="20" t="s">
        <v>878</v>
      </c>
      <c r="V1444" s="28">
        <v>43.5</v>
      </c>
      <c r="W1444" s="22">
        <v>10</v>
      </c>
      <c r="X1444" s="23"/>
    </row>
    <row r="1445" spans="1:24" s="1" customFormat="1" ht="17.100000000000001" customHeight="1" x14ac:dyDescent="0.3">
      <c r="A1445" s="24" t="s">
        <v>23</v>
      </c>
      <c r="B1445" s="24" t="s">
        <v>961</v>
      </c>
      <c r="C1445" s="12" t="s">
        <v>1773</v>
      </c>
      <c r="D1445" s="54"/>
      <c r="E1445" s="39" t="str">
        <f t="shared" si="34"/>
        <v>Еще фото</v>
      </c>
      <c r="F1445" s="13" t="s">
        <v>310</v>
      </c>
      <c r="G1445" s="24" t="s">
        <v>808</v>
      </c>
      <c r="H1445" s="24" t="s">
        <v>593</v>
      </c>
      <c r="I1445" s="24" t="s">
        <v>809</v>
      </c>
      <c r="J1445" s="14" t="s">
        <v>892</v>
      </c>
      <c r="K1445" s="15" t="s">
        <v>578</v>
      </c>
      <c r="L1445" s="57"/>
      <c r="M1445" s="14"/>
      <c r="N1445" s="14" t="s">
        <v>74</v>
      </c>
      <c r="O1445" s="14"/>
      <c r="P1445" s="15" t="s">
        <v>1753</v>
      </c>
      <c r="Q1445" s="16">
        <v>10299</v>
      </c>
      <c r="R1445" s="17">
        <v>40</v>
      </c>
      <c r="S1445" s="18">
        <v>7106.3099999999986</v>
      </c>
      <c r="T1445" s="19" t="s">
        <v>36</v>
      </c>
      <c r="U1445" s="20" t="s">
        <v>879</v>
      </c>
      <c r="V1445" s="22">
        <v>44</v>
      </c>
      <c r="W1445" s="22">
        <v>4</v>
      </c>
      <c r="X1445" s="23"/>
    </row>
    <row r="1446" spans="1:24" s="1" customFormat="1" ht="21.95" customHeight="1" x14ac:dyDescent="0.3">
      <c r="A1446" s="24" t="s">
        <v>23</v>
      </c>
      <c r="B1446" s="24" t="s">
        <v>961</v>
      </c>
      <c r="C1446" s="12" t="s">
        <v>1773</v>
      </c>
      <c r="D1446" s="55"/>
      <c r="E1446" s="39" t="str">
        <f t="shared" si="34"/>
        <v>Еще фото</v>
      </c>
      <c r="F1446" s="13" t="s">
        <v>310</v>
      </c>
      <c r="G1446" s="24" t="s">
        <v>808</v>
      </c>
      <c r="H1446" s="24" t="s">
        <v>593</v>
      </c>
      <c r="I1446" s="24" t="s">
        <v>809</v>
      </c>
      <c r="J1446" s="14" t="s">
        <v>892</v>
      </c>
      <c r="K1446" s="15" t="s">
        <v>578</v>
      </c>
      <c r="L1446" s="58"/>
      <c r="M1446" s="14"/>
      <c r="N1446" s="14" t="s">
        <v>74</v>
      </c>
      <c r="O1446" s="14"/>
      <c r="P1446" s="15" t="s">
        <v>1753</v>
      </c>
      <c r="Q1446" s="16">
        <v>10299</v>
      </c>
      <c r="R1446" s="17">
        <v>40</v>
      </c>
      <c r="S1446" s="18">
        <v>7106.3099999999986</v>
      </c>
      <c r="T1446" s="19" t="s">
        <v>36</v>
      </c>
      <c r="U1446" s="20" t="s">
        <v>880</v>
      </c>
      <c r="V1446" s="28">
        <v>44.5</v>
      </c>
      <c r="W1446" s="22">
        <v>1</v>
      </c>
      <c r="X1446" s="23"/>
    </row>
    <row r="1447" spans="1:24" s="1" customFormat="1" ht="26.1" customHeight="1" x14ac:dyDescent="0.3">
      <c r="A1447" s="11" t="s">
        <v>23</v>
      </c>
      <c r="B1447" s="11" t="s">
        <v>961</v>
      </c>
      <c r="C1447" s="12" t="s">
        <v>1774</v>
      </c>
      <c r="D1447" s="53"/>
      <c r="E1447" s="39" t="str">
        <f>HYPERLINK("https://www.google.ru/search?q=6001585-600&amp;newwindow=1&amp;tbm=isch","Еще фото")</f>
        <v>Еще фото</v>
      </c>
      <c r="F1447" s="13" t="s">
        <v>98</v>
      </c>
      <c r="G1447" s="11" t="s">
        <v>808</v>
      </c>
      <c r="H1447" s="11" t="s">
        <v>593</v>
      </c>
      <c r="I1447" s="14" t="s">
        <v>809</v>
      </c>
      <c r="J1447" s="14" t="s">
        <v>892</v>
      </c>
      <c r="K1447" s="15" t="s">
        <v>578</v>
      </c>
      <c r="L1447" s="56" t="s">
        <v>963</v>
      </c>
      <c r="M1447" s="14"/>
      <c r="N1447" s="14" t="s">
        <v>1013</v>
      </c>
      <c r="O1447" s="14"/>
      <c r="P1447" s="15" t="s">
        <v>597</v>
      </c>
      <c r="Q1447" s="16">
        <v>11099</v>
      </c>
      <c r="R1447" s="17">
        <v>40</v>
      </c>
      <c r="S1447" s="18">
        <v>7658.3099999999986</v>
      </c>
      <c r="T1447" s="19" t="s">
        <v>36</v>
      </c>
      <c r="U1447" s="20" t="s">
        <v>945</v>
      </c>
      <c r="V1447" s="22">
        <v>41</v>
      </c>
      <c r="W1447" s="22">
        <v>1</v>
      </c>
      <c r="X1447" s="23"/>
    </row>
    <row r="1448" spans="1:24" s="1" customFormat="1" ht="26.1" customHeight="1" x14ac:dyDescent="0.3">
      <c r="A1448" s="24" t="s">
        <v>23</v>
      </c>
      <c r="B1448" s="24" t="s">
        <v>961</v>
      </c>
      <c r="C1448" s="12" t="s">
        <v>1774</v>
      </c>
      <c r="D1448" s="54"/>
      <c r="E1448" s="39" t="str">
        <f>HYPERLINK("https://www.google.ru/search?q=6001585-600&amp;newwindow=1&amp;tbm=isch","Еще фото")</f>
        <v>Еще фото</v>
      </c>
      <c r="F1448" s="13" t="s">
        <v>98</v>
      </c>
      <c r="G1448" s="24" t="s">
        <v>808</v>
      </c>
      <c r="H1448" s="24" t="s">
        <v>593</v>
      </c>
      <c r="I1448" s="24" t="s">
        <v>809</v>
      </c>
      <c r="J1448" s="14" t="s">
        <v>892</v>
      </c>
      <c r="K1448" s="15" t="s">
        <v>578</v>
      </c>
      <c r="L1448" s="57"/>
      <c r="M1448" s="14"/>
      <c r="N1448" s="14" t="s">
        <v>1013</v>
      </c>
      <c r="O1448" s="14"/>
      <c r="P1448" s="15" t="s">
        <v>597</v>
      </c>
      <c r="Q1448" s="16">
        <v>11099</v>
      </c>
      <c r="R1448" s="17">
        <v>40</v>
      </c>
      <c r="S1448" s="18">
        <v>7658.3099999999986</v>
      </c>
      <c r="T1448" s="19" t="s">
        <v>36</v>
      </c>
      <c r="U1448" s="20" t="s">
        <v>875</v>
      </c>
      <c r="V1448" s="28">
        <v>41.5</v>
      </c>
      <c r="W1448" s="22">
        <v>7</v>
      </c>
      <c r="X1448" s="23"/>
    </row>
    <row r="1449" spans="1:24" s="1" customFormat="1" ht="26.1" customHeight="1" x14ac:dyDescent="0.3">
      <c r="A1449" s="24" t="s">
        <v>23</v>
      </c>
      <c r="B1449" s="24" t="s">
        <v>961</v>
      </c>
      <c r="C1449" s="12" t="s">
        <v>1774</v>
      </c>
      <c r="D1449" s="54"/>
      <c r="E1449" s="39" t="str">
        <f>HYPERLINK("https://www.google.ru/search?q=6001585-600&amp;newwindow=1&amp;tbm=isch","Еще фото")</f>
        <v>Еще фото</v>
      </c>
      <c r="F1449" s="13" t="s">
        <v>98</v>
      </c>
      <c r="G1449" s="24" t="s">
        <v>808</v>
      </c>
      <c r="H1449" s="24" t="s">
        <v>593</v>
      </c>
      <c r="I1449" s="24" t="s">
        <v>809</v>
      </c>
      <c r="J1449" s="14" t="s">
        <v>892</v>
      </c>
      <c r="K1449" s="15" t="s">
        <v>578</v>
      </c>
      <c r="L1449" s="57"/>
      <c r="M1449" s="14"/>
      <c r="N1449" s="14" t="s">
        <v>1013</v>
      </c>
      <c r="O1449" s="14"/>
      <c r="P1449" s="15" t="s">
        <v>597</v>
      </c>
      <c r="Q1449" s="16">
        <v>11099</v>
      </c>
      <c r="R1449" s="17">
        <v>40</v>
      </c>
      <c r="S1449" s="18">
        <v>7658.3099999999986</v>
      </c>
      <c r="T1449" s="19" t="s">
        <v>36</v>
      </c>
      <c r="U1449" s="20" t="s">
        <v>877</v>
      </c>
      <c r="V1449" s="22">
        <v>43</v>
      </c>
      <c r="W1449" s="22">
        <v>4</v>
      </c>
      <c r="X1449" s="23"/>
    </row>
    <row r="1450" spans="1:24" s="1" customFormat="1" ht="26.1" customHeight="1" x14ac:dyDescent="0.3">
      <c r="A1450" s="24" t="s">
        <v>23</v>
      </c>
      <c r="B1450" s="24" t="s">
        <v>961</v>
      </c>
      <c r="C1450" s="12" t="s">
        <v>1774</v>
      </c>
      <c r="D1450" s="55"/>
      <c r="E1450" s="39" t="str">
        <f>HYPERLINK("https://www.google.ru/search?q=6001585-600&amp;newwindow=1&amp;tbm=isch","Еще фото")</f>
        <v>Еще фото</v>
      </c>
      <c r="F1450" s="13" t="s">
        <v>98</v>
      </c>
      <c r="G1450" s="24" t="s">
        <v>808</v>
      </c>
      <c r="H1450" s="24" t="s">
        <v>593</v>
      </c>
      <c r="I1450" s="24" t="s">
        <v>809</v>
      </c>
      <c r="J1450" s="14" t="s">
        <v>892</v>
      </c>
      <c r="K1450" s="15" t="s">
        <v>578</v>
      </c>
      <c r="L1450" s="58"/>
      <c r="M1450" s="14"/>
      <c r="N1450" s="14" t="s">
        <v>1013</v>
      </c>
      <c r="O1450" s="14"/>
      <c r="P1450" s="15" t="s">
        <v>597</v>
      </c>
      <c r="Q1450" s="16">
        <v>11099</v>
      </c>
      <c r="R1450" s="17">
        <v>40</v>
      </c>
      <c r="S1450" s="18">
        <v>7658.3099999999986</v>
      </c>
      <c r="T1450" s="19" t="s">
        <v>36</v>
      </c>
      <c r="U1450" s="20" t="s">
        <v>878</v>
      </c>
      <c r="V1450" s="28">
        <v>43.5</v>
      </c>
      <c r="W1450" s="22">
        <v>6</v>
      </c>
      <c r="X1450" s="23"/>
    </row>
    <row r="1451" spans="1:24" s="1" customFormat="1" ht="51.95" customHeight="1" x14ac:dyDescent="0.3">
      <c r="A1451" s="11" t="s">
        <v>23</v>
      </c>
      <c r="B1451" s="11" t="s">
        <v>1775</v>
      </c>
      <c r="C1451" s="12" t="s">
        <v>1776</v>
      </c>
      <c r="D1451" s="59"/>
      <c r="E1451" s="39" t="str">
        <f>HYPERLINK("https://www.google.ru/search?q=6006030-001&amp;newwindow=1&amp;tbm=isch","Еще фото")</f>
        <v>Еще фото</v>
      </c>
      <c r="F1451" s="13"/>
      <c r="G1451" s="11" t="s">
        <v>808</v>
      </c>
      <c r="H1451" s="11" t="s">
        <v>593</v>
      </c>
      <c r="I1451" s="14" t="s">
        <v>809</v>
      </c>
      <c r="J1451" s="14" t="s">
        <v>29</v>
      </c>
      <c r="K1451" s="15" t="s">
        <v>30</v>
      </c>
      <c r="L1451" s="56" t="s">
        <v>1777</v>
      </c>
      <c r="M1451" s="14"/>
      <c r="N1451" s="14" t="s">
        <v>33</v>
      </c>
      <c r="O1451" s="14"/>
      <c r="P1451" s="15" t="s">
        <v>919</v>
      </c>
      <c r="Q1451" s="16">
        <v>20599</v>
      </c>
      <c r="R1451" s="17">
        <v>40</v>
      </c>
      <c r="S1451" s="18">
        <v>14213.309999999998</v>
      </c>
      <c r="T1451" s="19" t="s">
        <v>36</v>
      </c>
      <c r="U1451" s="20" t="s">
        <v>602</v>
      </c>
      <c r="V1451" s="28">
        <v>41.5</v>
      </c>
      <c r="W1451" s="22">
        <v>1</v>
      </c>
      <c r="X1451" s="23"/>
    </row>
    <row r="1452" spans="1:24" s="1" customFormat="1" ht="60.95" customHeight="1" x14ac:dyDescent="0.3">
      <c r="A1452" s="24" t="s">
        <v>23</v>
      </c>
      <c r="B1452" s="24" t="s">
        <v>1775</v>
      </c>
      <c r="C1452" s="12" t="s">
        <v>1776</v>
      </c>
      <c r="D1452" s="60"/>
      <c r="E1452" s="39" t="str">
        <f>HYPERLINK("https://www.google.ru/search?q=6006030-001&amp;newwindow=1&amp;tbm=isch","Еще фото")</f>
        <v>Еще фото</v>
      </c>
      <c r="F1452" s="13"/>
      <c r="G1452" s="24" t="s">
        <v>808</v>
      </c>
      <c r="H1452" s="24" t="s">
        <v>593</v>
      </c>
      <c r="I1452" s="24" t="s">
        <v>809</v>
      </c>
      <c r="J1452" s="14" t="s">
        <v>29</v>
      </c>
      <c r="K1452" s="15" t="s">
        <v>30</v>
      </c>
      <c r="L1452" s="58"/>
      <c r="M1452" s="14"/>
      <c r="N1452" s="14" t="s">
        <v>33</v>
      </c>
      <c r="O1452" s="14"/>
      <c r="P1452" s="15" t="s">
        <v>919</v>
      </c>
      <c r="Q1452" s="16">
        <v>20599</v>
      </c>
      <c r="R1452" s="17">
        <v>40</v>
      </c>
      <c r="S1452" s="18">
        <v>14213.309999999998</v>
      </c>
      <c r="T1452" s="19" t="s">
        <v>36</v>
      </c>
      <c r="U1452" s="20" t="s">
        <v>605</v>
      </c>
      <c r="V1452" s="28">
        <v>43.5</v>
      </c>
      <c r="W1452" s="22">
        <v>1</v>
      </c>
      <c r="X1452" s="23"/>
    </row>
    <row r="1453" spans="1:24" s="1" customFormat="1" ht="108" customHeight="1" x14ac:dyDescent="0.3">
      <c r="A1453" s="11" t="s">
        <v>23</v>
      </c>
      <c r="B1453" s="11" t="s">
        <v>1775</v>
      </c>
      <c r="C1453" s="12" t="s">
        <v>1778</v>
      </c>
      <c r="D1453" s="25"/>
      <c r="E1453" s="39" t="str">
        <f>HYPERLINK("https://www.google.ru/search?q=6006030-002&amp;newwindow=1&amp;tbm=isch","Еще фото")</f>
        <v>Еще фото</v>
      </c>
      <c r="F1453" s="13"/>
      <c r="G1453" s="11" t="s">
        <v>808</v>
      </c>
      <c r="H1453" s="11" t="s">
        <v>593</v>
      </c>
      <c r="I1453" s="14" t="s">
        <v>809</v>
      </c>
      <c r="J1453" s="14" t="s">
        <v>29</v>
      </c>
      <c r="K1453" s="15" t="s">
        <v>30</v>
      </c>
      <c r="L1453" s="14" t="s">
        <v>1777</v>
      </c>
      <c r="M1453" s="14"/>
      <c r="N1453" s="14" t="s">
        <v>33</v>
      </c>
      <c r="O1453" s="14"/>
      <c r="P1453" s="15" t="s">
        <v>870</v>
      </c>
      <c r="Q1453" s="16">
        <v>20599</v>
      </c>
      <c r="R1453" s="17">
        <v>40</v>
      </c>
      <c r="S1453" s="18">
        <v>14213.309999999998</v>
      </c>
      <c r="T1453" s="19" t="s">
        <v>36</v>
      </c>
      <c r="U1453" s="20" t="s">
        <v>599</v>
      </c>
      <c r="V1453" s="28">
        <v>39.5</v>
      </c>
      <c r="W1453" s="22">
        <v>3</v>
      </c>
      <c r="X1453" s="23"/>
    </row>
    <row r="1454" spans="1:24" s="1" customFormat="1" ht="11.1" customHeight="1" x14ac:dyDescent="0.3">
      <c r="A1454" s="11" t="s">
        <v>23</v>
      </c>
      <c r="B1454" s="11" t="s">
        <v>1775</v>
      </c>
      <c r="C1454" s="12" t="s">
        <v>1779</v>
      </c>
      <c r="D1454" s="53"/>
      <c r="E1454" s="39" t="str">
        <f t="shared" ref="E1454:E1463" si="35">HYPERLINK("https://www.google.ru/search?q=6006030-102&amp;newwindow=1&amp;tbm=isch","Еще фото")</f>
        <v>Еще фото</v>
      </c>
      <c r="F1454" s="13"/>
      <c r="G1454" s="11" t="s">
        <v>808</v>
      </c>
      <c r="H1454" s="11" t="s">
        <v>593</v>
      </c>
      <c r="I1454" s="14" t="s">
        <v>809</v>
      </c>
      <c r="J1454" s="14" t="s">
        <v>29</v>
      </c>
      <c r="K1454" s="15" t="s">
        <v>30</v>
      </c>
      <c r="L1454" s="56" t="s">
        <v>1777</v>
      </c>
      <c r="M1454" s="14"/>
      <c r="N1454" s="14" t="s">
        <v>74</v>
      </c>
      <c r="O1454" s="14"/>
      <c r="P1454" s="15" t="s">
        <v>919</v>
      </c>
      <c r="Q1454" s="16">
        <v>20599</v>
      </c>
      <c r="R1454" s="17">
        <v>40</v>
      </c>
      <c r="S1454" s="18">
        <v>14213.309999999998</v>
      </c>
      <c r="T1454" s="19" t="s">
        <v>36</v>
      </c>
      <c r="U1454" s="20" t="s">
        <v>599</v>
      </c>
      <c r="V1454" s="28">
        <v>39.5</v>
      </c>
      <c r="W1454" s="22">
        <v>1</v>
      </c>
      <c r="X1454" s="23"/>
    </row>
    <row r="1455" spans="1:24" s="1" customFormat="1" ht="11.1" customHeight="1" x14ac:dyDescent="0.3">
      <c r="A1455" s="24" t="s">
        <v>23</v>
      </c>
      <c r="B1455" s="24" t="s">
        <v>1775</v>
      </c>
      <c r="C1455" s="12" t="s">
        <v>1779</v>
      </c>
      <c r="D1455" s="54"/>
      <c r="E1455" s="39" t="str">
        <f t="shared" si="35"/>
        <v>Еще фото</v>
      </c>
      <c r="F1455" s="13"/>
      <c r="G1455" s="24" t="s">
        <v>808</v>
      </c>
      <c r="H1455" s="24" t="s">
        <v>593</v>
      </c>
      <c r="I1455" s="24" t="s">
        <v>809</v>
      </c>
      <c r="J1455" s="14" t="s">
        <v>29</v>
      </c>
      <c r="K1455" s="15" t="s">
        <v>30</v>
      </c>
      <c r="L1455" s="57"/>
      <c r="M1455" s="14"/>
      <c r="N1455" s="14" t="s">
        <v>74</v>
      </c>
      <c r="O1455" s="14"/>
      <c r="P1455" s="15" t="s">
        <v>919</v>
      </c>
      <c r="Q1455" s="16">
        <v>20599</v>
      </c>
      <c r="R1455" s="17">
        <v>40</v>
      </c>
      <c r="S1455" s="18">
        <v>14213.309999999998</v>
      </c>
      <c r="T1455" s="19" t="s">
        <v>36</v>
      </c>
      <c r="U1455" s="20" t="s">
        <v>600</v>
      </c>
      <c r="V1455" s="22">
        <v>40</v>
      </c>
      <c r="W1455" s="22">
        <v>1</v>
      </c>
      <c r="X1455" s="23"/>
    </row>
    <row r="1456" spans="1:24" s="1" customFormat="1" ht="11.1" customHeight="1" x14ac:dyDescent="0.3">
      <c r="A1456" s="24" t="s">
        <v>23</v>
      </c>
      <c r="B1456" s="24" t="s">
        <v>1775</v>
      </c>
      <c r="C1456" s="12" t="s">
        <v>1779</v>
      </c>
      <c r="D1456" s="54"/>
      <c r="E1456" s="39" t="str">
        <f t="shared" si="35"/>
        <v>Еще фото</v>
      </c>
      <c r="F1456" s="13"/>
      <c r="G1456" s="24" t="s">
        <v>808</v>
      </c>
      <c r="H1456" s="24" t="s">
        <v>593</v>
      </c>
      <c r="I1456" s="24" t="s">
        <v>809</v>
      </c>
      <c r="J1456" s="14" t="s">
        <v>29</v>
      </c>
      <c r="K1456" s="15" t="s">
        <v>30</v>
      </c>
      <c r="L1456" s="57"/>
      <c r="M1456" s="14"/>
      <c r="N1456" s="14" t="s">
        <v>74</v>
      </c>
      <c r="O1456" s="14"/>
      <c r="P1456" s="15" t="s">
        <v>919</v>
      </c>
      <c r="Q1456" s="16">
        <v>20599</v>
      </c>
      <c r="R1456" s="17">
        <v>40</v>
      </c>
      <c r="S1456" s="18">
        <v>14213.309999999998</v>
      </c>
      <c r="T1456" s="19" t="s">
        <v>36</v>
      </c>
      <c r="U1456" s="20" t="s">
        <v>601</v>
      </c>
      <c r="V1456" s="22">
        <v>41</v>
      </c>
      <c r="W1456" s="22">
        <v>8</v>
      </c>
      <c r="X1456" s="23"/>
    </row>
    <row r="1457" spans="1:24" s="1" customFormat="1" ht="11.1" customHeight="1" x14ac:dyDescent="0.3">
      <c r="A1457" s="24" t="s">
        <v>23</v>
      </c>
      <c r="B1457" s="24" t="s">
        <v>1775</v>
      </c>
      <c r="C1457" s="12" t="s">
        <v>1779</v>
      </c>
      <c r="D1457" s="54"/>
      <c r="E1457" s="39" t="str">
        <f t="shared" si="35"/>
        <v>Еще фото</v>
      </c>
      <c r="F1457" s="13"/>
      <c r="G1457" s="24" t="s">
        <v>808</v>
      </c>
      <c r="H1457" s="24" t="s">
        <v>593</v>
      </c>
      <c r="I1457" s="24" t="s">
        <v>809</v>
      </c>
      <c r="J1457" s="14" t="s">
        <v>29</v>
      </c>
      <c r="K1457" s="15" t="s">
        <v>30</v>
      </c>
      <c r="L1457" s="57"/>
      <c r="M1457" s="14"/>
      <c r="N1457" s="14" t="s">
        <v>74</v>
      </c>
      <c r="O1457" s="14"/>
      <c r="P1457" s="15" t="s">
        <v>919</v>
      </c>
      <c r="Q1457" s="16">
        <v>20599</v>
      </c>
      <c r="R1457" s="17">
        <v>40</v>
      </c>
      <c r="S1457" s="18">
        <v>14213.309999999998</v>
      </c>
      <c r="T1457" s="19" t="s">
        <v>36</v>
      </c>
      <c r="U1457" s="20" t="s">
        <v>602</v>
      </c>
      <c r="V1457" s="28">
        <v>41.5</v>
      </c>
      <c r="W1457" s="22">
        <v>9</v>
      </c>
      <c r="X1457" s="23"/>
    </row>
    <row r="1458" spans="1:24" s="1" customFormat="1" ht="11.1" customHeight="1" x14ac:dyDescent="0.3">
      <c r="A1458" s="24" t="s">
        <v>23</v>
      </c>
      <c r="B1458" s="24" t="s">
        <v>1775</v>
      </c>
      <c r="C1458" s="12" t="s">
        <v>1779</v>
      </c>
      <c r="D1458" s="54"/>
      <c r="E1458" s="39" t="str">
        <f t="shared" si="35"/>
        <v>Еще фото</v>
      </c>
      <c r="F1458" s="13"/>
      <c r="G1458" s="24" t="s">
        <v>808</v>
      </c>
      <c r="H1458" s="24" t="s">
        <v>593</v>
      </c>
      <c r="I1458" s="24" t="s">
        <v>809</v>
      </c>
      <c r="J1458" s="14" t="s">
        <v>29</v>
      </c>
      <c r="K1458" s="15" t="s">
        <v>30</v>
      </c>
      <c r="L1458" s="57"/>
      <c r="M1458" s="14"/>
      <c r="N1458" s="14" t="s">
        <v>74</v>
      </c>
      <c r="O1458" s="14"/>
      <c r="P1458" s="15" t="s">
        <v>919</v>
      </c>
      <c r="Q1458" s="16">
        <v>20599</v>
      </c>
      <c r="R1458" s="17">
        <v>40</v>
      </c>
      <c r="S1458" s="18">
        <v>14213.309999999998</v>
      </c>
      <c r="T1458" s="19" t="s">
        <v>36</v>
      </c>
      <c r="U1458" s="20" t="s">
        <v>603</v>
      </c>
      <c r="V1458" s="22">
        <v>42</v>
      </c>
      <c r="W1458" s="22">
        <v>14</v>
      </c>
      <c r="X1458" s="23"/>
    </row>
    <row r="1459" spans="1:24" s="1" customFormat="1" ht="11.1" customHeight="1" x14ac:dyDescent="0.3">
      <c r="A1459" s="24" t="s">
        <v>23</v>
      </c>
      <c r="B1459" s="24" t="s">
        <v>1775</v>
      </c>
      <c r="C1459" s="12" t="s">
        <v>1779</v>
      </c>
      <c r="D1459" s="54"/>
      <c r="E1459" s="39" t="str">
        <f t="shared" si="35"/>
        <v>Еще фото</v>
      </c>
      <c r="F1459" s="13"/>
      <c r="G1459" s="24" t="s">
        <v>808</v>
      </c>
      <c r="H1459" s="24" t="s">
        <v>593</v>
      </c>
      <c r="I1459" s="24" t="s">
        <v>809</v>
      </c>
      <c r="J1459" s="14" t="s">
        <v>29</v>
      </c>
      <c r="K1459" s="15" t="s">
        <v>30</v>
      </c>
      <c r="L1459" s="57"/>
      <c r="M1459" s="14"/>
      <c r="N1459" s="14" t="s">
        <v>74</v>
      </c>
      <c r="O1459" s="14"/>
      <c r="P1459" s="15" t="s">
        <v>919</v>
      </c>
      <c r="Q1459" s="16">
        <v>20599</v>
      </c>
      <c r="R1459" s="17">
        <v>40</v>
      </c>
      <c r="S1459" s="18">
        <v>14213.309999999998</v>
      </c>
      <c r="T1459" s="19" t="s">
        <v>36</v>
      </c>
      <c r="U1459" s="20" t="s">
        <v>604</v>
      </c>
      <c r="V1459" s="22">
        <v>43</v>
      </c>
      <c r="W1459" s="22">
        <v>3</v>
      </c>
      <c r="X1459" s="23"/>
    </row>
    <row r="1460" spans="1:24" s="1" customFormat="1" ht="11.1" customHeight="1" x14ac:dyDescent="0.3">
      <c r="A1460" s="24" t="s">
        <v>23</v>
      </c>
      <c r="B1460" s="24" t="s">
        <v>1775</v>
      </c>
      <c r="C1460" s="12" t="s">
        <v>1779</v>
      </c>
      <c r="D1460" s="54"/>
      <c r="E1460" s="39" t="str">
        <f t="shared" si="35"/>
        <v>Еще фото</v>
      </c>
      <c r="F1460" s="13"/>
      <c r="G1460" s="24" t="s">
        <v>808</v>
      </c>
      <c r="H1460" s="24" t="s">
        <v>593</v>
      </c>
      <c r="I1460" s="24" t="s">
        <v>809</v>
      </c>
      <c r="J1460" s="14" t="s">
        <v>29</v>
      </c>
      <c r="K1460" s="15" t="s">
        <v>30</v>
      </c>
      <c r="L1460" s="57"/>
      <c r="M1460" s="14"/>
      <c r="N1460" s="14" t="s">
        <v>74</v>
      </c>
      <c r="O1460" s="14"/>
      <c r="P1460" s="15" t="s">
        <v>919</v>
      </c>
      <c r="Q1460" s="16">
        <v>20599</v>
      </c>
      <c r="R1460" s="17">
        <v>40</v>
      </c>
      <c r="S1460" s="18">
        <v>14213.309999999998</v>
      </c>
      <c r="T1460" s="19" t="s">
        <v>36</v>
      </c>
      <c r="U1460" s="20" t="s">
        <v>605</v>
      </c>
      <c r="V1460" s="28">
        <v>43.5</v>
      </c>
      <c r="W1460" s="22">
        <v>10</v>
      </c>
      <c r="X1460" s="23"/>
    </row>
    <row r="1461" spans="1:24" s="1" customFormat="1" ht="11.1" customHeight="1" x14ac:dyDescent="0.3">
      <c r="A1461" s="24" t="s">
        <v>23</v>
      </c>
      <c r="B1461" s="24" t="s">
        <v>1775</v>
      </c>
      <c r="C1461" s="12" t="s">
        <v>1779</v>
      </c>
      <c r="D1461" s="54"/>
      <c r="E1461" s="39" t="str">
        <f t="shared" si="35"/>
        <v>Еще фото</v>
      </c>
      <c r="F1461" s="13"/>
      <c r="G1461" s="24" t="s">
        <v>808</v>
      </c>
      <c r="H1461" s="24" t="s">
        <v>593</v>
      </c>
      <c r="I1461" s="24" t="s">
        <v>809</v>
      </c>
      <c r="J1461" s="14" t="s">
        <v>29</v>
      </c>
      <c r="K1461" s="15" t="s">
        <v>30</v>
      </c>
      <c r="L1461" s="57"/>
      <c r="M1461" s="14"/>
      <c r="N1461" s="14" t="s">
        <v>74</v>
      </c>
      <c r="O1461" s="14"/>
      <c r="P1461" s="15" t="s">
        <v>919</v>
      </c>
      <c r="Q1461" s="16">
        <v>20599</v>
      </c>
      <c r="R1461" s="17">
        <v>40</v>
      </c>
      <c r="S1461" s="18">
        <v>14213.309999999998</v>
      </c>
      <c r="T1461" s="19" t="s">
        <v>36</v>
      </c>
      <c r="U1461" s="20" t="s">
        <v>606</v>
      </c>
      <c r="V1461" s="22">
        <v>44</v>
      </c>
      <c r="W1461" s="22">
        <v>2</v>
      </c>
      <c r="X1461" s="23"/>
    </row>
    <row r="1462" spans="1:24" s="1" customFormat="1" ht="11.1" customHeight="1" x14ac:dyDescent="0.3">
      <c r="A1462" s="24" t="s">
        <v>23</v>
      </c>
      <c r="B1462" s="24" t="s">
        <v>1775</v>
      </c>
      <c r="C1462" s="12" t="s">
        <v>1779</v>
      </c>
      <c r="D1462" s="54"/>
      <c r="E1462" s="39" t="str">
        <f t="shared" si="35"/>
        <v>Еще фото</v>
      </c>
      <c r="F1462" s="13"/>
      <c r="G1462" s="24" t="s">
        <v>808</v>
      </c>
      <c r="H1462" s="24" t="s">
        <v>593</v>
      </c>
      <c r="I1462" s="24" t="s">
        <v>809</v>
      </c>
      <c r="J1462" s="14" t="s">
        <v>29</v>
      </c>
      <c r="K1462" s="15" t="s">
        <v>30</v>
      </c>
      <c r="L1462" s="57"/>
      <c r="M1462" s="14"/>
      <c r="N1462" s="14" t="s">
        <v>74</v>
      </c>
      <c r="O1462" s="14"/>
      <c r="P1462" s="15" t="s">
        <v>919</v>
      </c>
      <c r="Q1462" s="16">
        <v>20599</v>
      </c>
      <c r="R1462" s="17">
        <v>40</v>
      </c>
      <c r="S1462" s="18">
        <v>14213.309999999998</v>
      </c>
      <c r="T1462" s="19" t="s">
        <v>36</v>
      </c>
      <c r="U1462" s="20" t="s">
        <v>607</v>
      </c>
      <c r="V1462" s="28">
        <v>44.5</v>
      </c>
      <c r="W1462" s="22">
        <v>3</v>
      </c>
      <c r="X1462" s="23"/>
    </row>
    <row r="1463" spans="1:24" s="1" customFormat="1" ht="11.1" customHeight="1" x14ac:dyDescent="0.3">
      <c r="A1463" s="14" t="s">
        <v>23</v>
      </c>
      <c r="B1463" s="14" t="s">
        <v>1775</v>
      </c>
      <c r="C1463" s="12" t="s">
        <v>1779</v>
      </c>
      <c r="D1463" s="55"/>
      <c r="E1463" s="39" t="str">
        <f t="shared" si="35"/>
        <v>Еще фото</v>
      </c>
      <c r="F1463" s="29"/>
      <c r="G1463" s="14" t="s">
        <v>808</v>
      </c>
      <c r="H1463" s="14" t="s">
        <v>593</v>
      </c>
      <c r="I1463" s="14" t="s">
        <v>809</v>
      </c>
      <c r="J1463" s="14" t="s">
        <v>29</v>
      </c>
      <c r="K1463" s="14" t="s">
        <v>30</v>
      </c>
      <c r="L1463" s="58"/>
      <c r="M1463" s="14"/>
      <c r="N1463" s="14" t="s">
        <v>74</v>
      </c>
      <c r="O1463" s="14"/>
      <c r="P1463" s="14" t="s">
        <v>919</v>
      </c>
      <c r="Q1463" s="30">
        <v>20599</v>
      </c>
      <c r="R1463" s="31">
        <v>40</v>
      </c>
      <c r="S1463" s="32">
        <v>14213.309999999998</v>
      </c>
      <c r="T1463" s="19" t="s">
        <v>36</v>
      </c>
      <c r="U1463" s="20" t="s">
        <v>1500</v>
      </c>
      <c r="V1463" s="22">
        <v>46</v>
      </c>
      <c r="W1463" s="22">
        <v>3</v>
      </c>
      <c r="X1463" s="23"/>
    </row>
    <row r="1464" spans="1:24" s="1" customFormat="1" ht="26.1" customHeight="1" x14ac:dyDescent="0.3">
      <c r="A1464" s="11" t="s">
        <v>23</v>
      </c>
      <c r="B1464" s="11" t="s">
        <v>1223</v>
      </c>
      <c r="C1464" s="12" t="s">
        <v>1780</v>
      </c>
      <c r="D1464" s="53"/>
      <c r="E1464" s="39" t="str">
        <f>HYPERLINK("https://www.google.ru/search?q=6006717-001&amp;newwindow=1&amp;tbm=isch","Еще фото")</f>
        <v>Еще фото</v>
      </c>
      <c r="F1464" s="13"/>
      <c r="G1464" s="11" t="s">
        <v>808</v>
      </c>
      <c r="H1464" s="11" t="s">
        <v>593</v>
      </c>
      <c r="I1464" s="14" t="s">
        <v>809</v>
      </c>
      <c r="J1464" s="14" t="s">
        <v>29</v>
      </c>
      <c r="K1464" s="15" t="s">
        <v>30</v>
      </c>
      <c r="L1464" s="56" t="s">
        <v>1225</v>
      </c>
      <c r="M1464" s="14"/>
      <c r="N1464" s="14" t="s">
        <v>33</v>
      </c>
      <c r="O1464" s="14"/>
      <c r="P1464" s="15" t="s">
        <v>870</v>
      </c>
      <c r="Q1464" s="16">
        <v>12299</v>
      </c>
      <c r="R1464" s="17">
        <v>40</v>
      </c>
      <c r="S1464" s="18">
        <v>8486.31</v>
      </c>
      <c r="T1464" s="19" t="s">
        <v>36</v>
      </c>
      <c r="U1464" s="20" t="s">
        <v>600</v>
      </c>
      <c r="V1464" s="22">
        <v>40</v>
      </c>
      <c r="W1464" s="22">
        <v>2</v>
      </c>
      <c r="X1464" s="23"/>
    </row>
    <row r="1465" spans="1:24" s="1" customFormat="1" ht="26.1" customHeight="1" x14ac:dyDescent="0.3">
      <c r="A1465" s="24" t="s">
        <v>23</v>
      </c>
      <c r="B1465" s="24" t="s">
        <v>1223</v>
      </c>
      <c r="C1465" s="12" t="s">
        <v>1780</v>
      </c>
      <c r="D1465" s="54"/>
      <c r="E1465" s="39" t="str">
        <f>HYPERLINK("https://www.google.ru/search?q=6006717-001&amp;newwindow=1&amp;tbm=isch","Еще фото")</f>
        <v>Еще фото</v>
      </c>
      <c r="F1465" s="13"/>
      <c r="G1465" s="24" t="s">
        <v>808</v>
      </c>
      <c r="H1465" s="24" t="s">
        <v>593</v>
      </c>
      <c r="I1465" s="24" t="s">
        <v>809</v>
      </c>
      <c r="J1465" s="14" t="s">
        <v>29</v>
      </c>
      <c r="K1465" s="15" t="s">
        <v>30</v>
      </c>
      <c r="L1465" s="57"/>
      <c r="M1465" s="14"/>
      <c r="N1465" s="14" t="s">
        <v>33</v>
      </c>
      <c r="O1465" s="14"/>
      <c r="P1465" s="15" t="s">
        <v>870</v>
      </c>
      <c r="Q1465" s="16">
        <v>12299</v>
      </c>
      <c r="R1465" s="17">
        <v>40</v>
      </c>
      <c r="S1465" s="18">
        <v>8486.31</v>
      </c>
      <c r="T1465" s="19" t="s">
        <v>36</v>
      </c>
      <c r="U1465" s="20" t="s">
        <v>602</v>
      </c>
      <c r="V1465" s="28">
        <v>41.5</v>
      </c>
      <c r="W1465" s="22">
        <v>2</v>
      </c>
      <c r="X1465" s="23"/>
    </row>
    <row r="1466" spans="1:24" s="1" customFormat="1" ht="26.1" customHeight="1" x14ac:dyDescent="0.3">
      <c r="A1466" s="24" t="s">
        <v>23</v>
      </c>
      <c r="B1466" s="24" t="s">
        <v>1223</v>
      </c>
      <c r="C1466" s="12" t="s">
        <v>1780</v>
      </c>
      <c r="D1466" s="54"/>
      <c r="E1466" s="39" t="str">
        <f>HYPERLINK("https://www.google.ru/search?q=6006717-001&amp;newwindow=1&amp;tbm=isch","Еще фото")</f>
        <v>Еще фото</v>
      </c>
      <c r="F1466" s="13"/>
      <c r="G1466" s="24" t="s">
        <v>808</v>
      </c>
      <c r="H1466" s="24" t="s">
        <v>593</v>
      </c>
      <c r="I1466" s="24" t="s">
        <v>809</v>
      </c>
      <c r="J1466" s="14" t="s">
        <v>29</v>
      </c>
      <c r="K1466" s="15" t="s">
        <v>30</v>
      </c>
      <c r="L1466" s="57"/>
      <c r="M1466" s="14"/>
      <c r="N1466" s="14" t="s">
        <v>33</v>
      </c>
      <c r="O1466" s="14"/>
      <c r="P1466" s="15" t="s">
        <v>870</v>
      </c>
      <c r="Q1466" s="16">
        <v>12299</v>
      </c>
      <c r="R1466" s="17">
        <v>40</v>
      </c>
      <c r="S1466" s="18">
        <v>8486.31</v>
      </c>
      <c r="T1466" s="19" t="s">
        <v>36</v>
      </c>
      <c r="U1466" s="20" t="s">
        <v>603</v>
      </c>
      <c r="V1466" s="22">
        <v>42</v>
      </c>
      <c r="W1466" s="22">
        <v>1</v>
      </c>
      <c r="X1466" s="23"/>
    </row>
    <row r="1467" spans="1:24" s="1" customFormat="1" ht="26.1" customHeight="1" x14ac:dyDescent="0.3">
      <c r="A1467" s="24" t="s">
        <v>23</v>
      </c>
      <c r="B1467" s="24" t="s">
        <v>1223</v>
      </c>
      <c r="C1467" s="12" t="s">
        <v>1780</v>
      </c>
      <c r="D1467" s="55"/>
      <c r="E1467" s="39" t="str">
        <f>HYPERLINK("https://www.google.ru/search?q=6006717-001&amp;newwindow=1&amp;tbm=isch","Еще фото")</f>
        <v>Еще фото</v>
      </c>
      <c r="F1467" s="13"/>
      <c r="G1467" s="24" t="s">
        <v>808</v>
      </c>
      <c r="H1467" s="24" t="s">
        <v>593</v>
      </c>
      <c r="I1467" s="24" t="s">
        <v>809</v>
      </c>
      <c r="J1467" s="14" t="s">
        <v>29</v>
      </c>
      <c r="K1467" s="15" t="s">
        <v>30</v>
      </c>
      <c r="L1467" s="58"/>
      <c r="M1467" s="14"/>
      <c r="N1467" s="14" t="s">
        <v>33</v>
      </c>
      <c r="O1467" s="14"/>
      <c r="P1467" s="15" t="s">
        <v>870</v>
      </c>
      <c r="Q1467" s="16">
        <v>12299</v>
      </c>
      <c r="R1467" s="17">
        <v>40</v>
      </c>
      <c r="S1467" s="18">
        <v>8486.31</v>
      </c>
      <c r="T1467" s="19" t="s">
        <v>36</v>
      </c>
      <c r="U1467" s="20" t="s">
        <v>605</v>
      </c>
      <c r="V1467" s="28">
        <v>43.5</v>
      </c>
      <c r="W1467" s="22">
        <v>3</v>
      </c>
      <c r="X1467" s="23"/>
    </row>
    <row r="1468" spans="1:24" s="1" customFormat="1" ht="108" customHeight="1" x14ac:dyDescent="0.3">
      <c r="A1468" s="11" t="s">
        <v>23</v>
      </c>
      <c r="B1468" s="11" t="s">
        <v>1223</v>
      </c>
      <c r="C1468" s="12" t="s">
        <v>1781</v>
      </c>
      <c r="D1468" s="25"/>
      <c r="E1468" s="39" t="str">
        <f>HYPERLINK("https://www.google.ru/search?q=6006717-003&amp;newwindow=1&amp;tbm=isch","Еще фото")</f>
        <v>Еще фото</v>
      </c>
      <c r="F1468" s="13" t="s">
        <v>98</v>
      </c>
      <c r="G1468" s="11" t="s">
        <v>808</v>
      </c>
      <c r="H1468" s="11" t="s">
        <v>593</v>
      </c>
      <c r="I1468" s="14" t="s">
        <v>809</v>
      </c>
      <c r="J1468" s="14" t="s">
        <v>29</v>
      </c>
      <c r="K1468" s="15" t="s">
        <v>30</v>
      </c>
      <c r="L1468" s="14" t="s">
        <v>1225</v>
      </c>
      <c r="M1468" s="14"/>
      <c r="N1468" s="14" t="s">
        <v>33</v>
      </c>
      <c r="O1468" s="14"/>
      <c r="P1468" s="15" t="s">
        <v>870</v>
      </c>
      <c r="Q1468" s="16">
        <v>12299</v>
      </c>
      <c r="R1468" s="17">
        <v>40</v>
      </c>
      <c r="S1468" s="18">
        <v>8486.31</v>
      </c>
      <c r="T1468" s="19" t="s">
        <v>36</v>
      </c>
      <c r="U1468" s="20" t="s">
        <v>599</v>
      </c>
      <c r="V1468" s="28">
        <v>39.5</v>
      </c>
      <c r="W1468" s="22">
        <v>1</v>
      </c>
      <c r="X1468" s="23"/>
    </row>
    <row r="1469" spans="1:24" s="1" customFormat="1" ht="51.95" customHeight="1" x14ac:dyDescent="0.3">
      <c r="A1469" s="11" t="s">
        <v>23</v>
      </c>
      <c r="B1469" s="11" t="s">
        <v>1223</v>
      </c>
      <c r="C1469" s="12" t="s">
        <v>1782</v>
      </c>
      <c r="D1469" s="59"/>
      <c r="E1469" s="39" t="str">
        <f>HYPERLINK("https://www.google.ru/search?q=6006717-100&amp;newwindow=1&amp;tbm=isch","Еще фото")</f>
        <v>Еще фото</v>
      </c>
      <c r="F1469" s="13"/>
      <c r="G1469" s="11" t="s">
        <v>808</v>
      </c>
      <c r="H1469" s="11" t="s">
        <v>593</v>
      </c>
      <c r="I1469" s="14" t="s">
        <v>809</v>
      </c>
      <c r="J1469" s="14" t="s">
        <v>29</v>
      </c>
      <c r="K1469" s="15" t="s">
        <v>30</v>
      </c>
      <c r="L1469" s="56"/>
      <c r="M1469" s="14"/>
      <c r="N1469" s="14" t="s">
        <v>74</v>
      </c>
      <c r="O1469" s="14"/>
      <c r="P1469" s="15" t="s">
        <v>1783</v>
      </c>
      <c r="Q1469" s="16">
        <v>12299</v>
      </c>
      <c r="R1469" s="17">
        <v>40</v>
      </c>
      <c r="S1469" s="18">
        <v>8486.31</v>
      </c>
      <c r="T1469" s="19" t="s">
        <v>36</v>
      </c>
      <c r="U1469" s="20" t="s">
        <v>602</v>
      </c>
      <c r="V1469" s="28">
        <v>41.5</v>
      </c>
      <c r="W1469" s="22">
        <v>2</v>
      </c>
      <c r="X1469" s="23"/>
    </row>
    <row r="1470" spans="1:24" s="1" customFormat="1" ht="60.95" customHeight="1" x14ac:dyDescent="0.3">
      <c r="A1470" s="24" t="s">
        <v>23</v>
      </c>
      <c r="B1470" s="24" t="s">
        <v>1223</v>
      </c>
      <c r="C1470" s="12" t="s">
        <v>1782</v>
      </c>
      <c r="D1470" s="60"/>
      <c r="E1470" s="39" t="str">
        <f>HYPERLINK("https://www.google.ru/search?q=6006717-100&amp;newwindow=1&amp;tbm=isch","Еще фото")</f>
        <v>Еще фото</v>
      </c>
      <c r="F1470" s="13"/>
      <c r="G1470" s="24" t="s">
        <v>808</v>
      </c>
      <c r="H1470" s="24" t="s">
        <v>593</v>
      </c>
      <c r="I1470" s="24" t="s">
        <v>809</v>
      </c>
      <c r="J1470" s="14" t="s">
        <v>29</v>
      </c>
      <c r="K1470" s="15" t="s">
        <v>30</v>
      </c>
      <c r="L1470" s="58"/>
      <c r="M1470" s="14"/>
      <c r="N1470" s="14" t="s">
        <v>74</v>
      </c>
      <c r="O1470" s="14"/>
      <c r="P1470" s="15" t="s">
        <v>1783</v>
      </c>
      <c r="Q1470" s="16">
        <v>12299</v>
      </c>
      <c r="R1470" s="17">
        <v>40</v>
      </c>
      <c r="S1470" s="18">
        <v>8486.31</v>
      </c>
      <c r="T1470" s="19" t="s">
        <v>36</v>
      </c>
      <c r="U1470" s="20" t="s">
        <v>603</v>
      </c>
      <c r="V1470" s="22">
        <v>42</v>
      </c>
      <c r="W1470" s="22">
        <v>1</v>
      </c>
      <c r="X1470" s="23"/>
    </row>
    <row r="1471" spans="1:24" s="1" customFormat="1" ht="14.1" customHeight="1" x14ac:dyDescent="0.3">
      <c r="A1471" s="11" t="s">
        <v>23</v>
      </c>
      <c r="B1471" s="11" t="s">
        <v>1223</v>
      </c>
      <c r="C1471" s="12" t="s">
        <v>1784</v>
      </c>
      <c r="D1471" s="53"/>
      <c r="E1471" s="39" t="str">
        <f t="shared" ref="E1471:E1477" si="36">HYPERLINK("https://www.google.ru/search?q=6006717-712&amp;newwindow=1&amp;tbm=isch","Еще фото")</f>
        <v>Еще фото</v>
      </c>
      <c r="F1471" s="13"/>
      <c r="G1471" s="11" t="s">
        <v>808</v>
      </c>
      <c r="H1471" s="11" t="s">
        <v>593</v>
      </c>
      <c r="I1471" s="14" t="s">
        <v>809</v>
      </c>
      <c r="J1471" s="14" t="s">
        <v>29</v>
      </c>
      <c r="K1471" s="15" t="s">
        <v>30</v>
      </c>
      <c r="L1471" s="56" t="s">
        <v>1225</v>
      </c>
      <c r="M1471" s="14"/>
      <c r="N1471" s="14" t="s">
        <v>125</v>
      </c>
      <c r="O1471" s="14"/>
      <c r="P1471" s="15" t="s">
        <v>1204</v>
      </c>
      <c r="Q1471" s="16">
        <v>12299</v>
      </c>
      <c r="R1471" s="17">
        <v>40</v>
      </c>
      <c r="S1471" s="18">
        <v>8486.31</v>
      </c>
      <c r="T1471" s="19" t="s">
        <v>36</v>
      </c>
      <c r="U1471" s="20" t="s">
        <v>601</v>
      </c>
      <c r="V1471" s="22">
        <v>41</v>
      </c>
      <c r="W1471" s="22">
        <v>2</v>
      </c>
      <c r="X1471" s="23"/>
    </row>
    <row r="1472" spans="1:24" s="1" customFormat="1" ht="14.1" customHeight="1" x14ac:dyDescent="0.3">
      <c r="A1472" s="24" t="s">
        <v>23</v>
      </c>
      <c r="B1472" s="24" t="s">
        <v>1223</v>
      </c>
      <c r="C1472" s="12" t="s">
        <v>1784</v>
      </c>
      <c r="D1472" s="54"/>
      <c r="E1472" s="39" t="str">
        <f t="shared" si="36"/>
        <v>Еще фото</v>
      </c>
      <c r="F1472" s="13"/>
      <c r="G1472" s="24" t="s">
        <v>808</v>
      </c>
      <c r="H1472" s="24" t="s">
        <v>593</v>
      </c>
      <c r="I1472" s="24" t="s">
        <v>809</v>
      </c>
      <c r="J1472" s="14" t="s">
        <v>29</v>
      </c>
      <c r="K1472" s="15" t="s">
        <v>30</v>
      </c>
      <c r="L1472" s="57"/>
      <c r="M1472" s="14"/>
      <c r="N1472" s="14" t="s">
        <v>125</v>
      </c>
      <c r="O1472" s="14"/>
      <c r="P1472" s="15" t="s">
        <v>1204</v>
      </c>
      <c r="Q1472" s="16">
        <v>12299</v>
      </c>
      <c r="R1472" s="17">
        <v>40</v>
      </c>
      <c r="S1472" s="18">
        <v>8486.31</v>
      </c>
      <c r="T1472" s="19" t="s">
        <v>36</v>
      </c>
      <c r="U1472" s="20" t="s">
        <v>602</v>
      </c>
      <c r="V1472" s="28">
        <v>41.5</v>
      </c>
      <c r="W1472" s="22">
        <v>5</v>
      </c>
      <c r="X1472" s="23"/>
    </row>
    <row r="1473" spans="1:24" s="1" customFormat="1" ht="14.1" customHeight="1" x14ac:dyDescent="0.3">
      <c r="A1473" s="24" t="s">
        <v>23</v>
      </c>
      <c r="B1473" s="24" t="s">
        <v>1223</v>
      </c>
      <c r="C1473" s="12" t="s">
        <v>1784</v>
      </c>
      <c r="D1473" s="54"/>
      <c r="E1473" s="39" t="str">
        <f t="shared" si="36"/>
        <v>Еще фото</v>
      </c>
      <c r="F1473" s="13"/>
      <c r="G1473" s="24" t="s">
        <v>808</v>
      </c>
      <c r="H1473" s="24" t="s">
        <v>593</v>
      </c>
      <c r="I1473" s="24" t="s">
        <v>809</v>
      </c>
      <c r="J1473" s="14" t="s">
        <v>29</v>
      </c>
      <c r="K1473" s="15" t="s">
        <v>30</v>
      </c>
      <c r="L1473" s="57"/>
      <c r="M1473" s="14"/>
      <c r="N1473" s="14" t="s">
        <v>125</v>
      </c>
      <c r="O1473" s="14"/>
      <c r="P1473" s="15" t="s">
        <v>1204</v>
      </c>
      <c r="Q1473" s="16">
        <v>12299</v>
      </c>
      <c r="R1473" s="17">
        <v>40</v>
      </c>
      <c r="S1473" s="18">
        <v>8486.31</v>
      </c>
      <c r="T1473" s="19" t="s">
        <v>36</v>
      </c>
      <c r="U1473" s="20" t="s">
        <v>603</v>
      </c>
      <c r="V1473" s="22">
        <v>42</v>
      </c>
      <c r="W1473" s="22">
        <v>4</v>
      </c>
      <c r="X1473" s="23"/>
    </row>
    <row r="1474" spans="1:24" s="1" customFormat="1" ht="14.1" customHeight="1" x14ac:dyDescent="0.3">
      <c r="A1474" s="24" t="s">
        <v>23</v>
      </c>
      <c r="B1474" s="24" t="s">
        <v>1223</v>
      </c>
      <c r="C1474" s="12" t="s">
        <v>1784</v>
      </c>
      <c r="D1474" s="54"/>
      <c r="E1474" s="39" t="str">
        <f t="shared" si="36"/>
        <v>Еще фото</v>
      </c>
      <c r="F1474" s="13"/>
      <c r="G1474" s="24" t="s">
        <v>808</v>
      </c>
      <c r="H1474" s="24" t="s">
        <v>593</v>
      </c>
      <c r="I1474" s="24" t="s">
        <v>809</v>
      </c>
      <c r="J1474" s="14" t="s">
        <v>29</v>
      </c>
      <c r="K1474" s="15" t="s">
        <v>30</v>
      </c>
      <c r="L1474" s="57"/>
      <c r="M1474" s="14"/>
      <c r="N1474" s="14" t="s">
        <v>125</v>
      </c>
      <c r="O1474" s="14"/>
      <c r="P1474" s="15" t="s">
        <v>1204</v>
      </c>
      <c r="Q1474" s="16">
        <v>12299</v>
      </c>
      <c r="R1474" s="17">
        <v>40</v>
      </c>
      <c r="S1474" s="18">
        <v>8486.31</v>
      </c>
      <c r="T1474" s="19" t="s">
        <v>36</v>
      </c>
      <c r="U1474" s="20" t="s">
        <v>605</v>
      </c>
      <c r="V1474" s="28">
        <v>43.5</v>
      </c>
      <c r="W1474" s="22">
        <v>5</v>
      </c>
      <c r="X1474" s="23"/>
    </row>
    <row r="1475" spans="1:24" s="1" customFormat="1" ht="14.1" customHeight="1" x14ac:dyDescent="0.3">
      <c r="A1475" s="24" t="s">
        <v>23</v>
      </c>
      <c r="B1475" s="24" t="s">
        <v>1223</v>
      </c>
      <c r="C1475" s="12" t="s">
        <v>1784</v>
      </c>
      <c r="D1475" s="54"/>
      <c r="E1475" s="39" t="str">
        <f t="shared" si="36"/>
        <v>Еще фото</v>
      </c>
      <c r="F1475" s="13"/>
      <c r="G1475" s="24" t="s">
        <v>808</v>
      </c>
      <c r="H1475" s="24" t="s">
        <v>593</v>
      </c>
      <c r="I1475" s="24" t="s">
        <v>809</v>
      </c>
      <c r="J1475" s="14" t="s">
        <v>29</v>
      </c>
      <c r="K1475" s="15" t="s">
        <v>30</v>
      </c>
      <c r="L1475" s="57"/>
      <c r="M1475" s="14"/>
      <c r="N1475" s="14" t="s">
        <v>125</v>
      </c>
      <c r="O1475" s="14"/>
      <c r="P1475" s="15" t="s">
        <v>1204</v>
      </c>
      <c r="Q1475" s="16">
        <v>12299</v>
      </c>
      <c r="R1475" s="17">
        <v>40</v>
      </c>
      <c r="S1475" s="18">
        <v>8486.31</v>
      </c>
      <c r="T1475" s="19" t="s">
        <v>36</v>
      </c>
      <c r="U1475" s="20" t="s">
        <v>606</v>
      </c>
      <c r="V1475" s="22">
        <v>44</v>
      </c>
      <c r="W1475" s="22">
        <v>2</v>
      </c>
      <c r="X1475" s="23"/>
    </row>
    <row r="1476" spans="1:24" s="1" customFormat="1" ht="14.1" customHeight="1" x14ac:dyDescent="0.3">
      <c r="A1476" s="24" t="s">
        <v>23</v>
      </c>
      <c r="B1476" s="24" t="s">
        <v>1223</v>
      </c>
      <c r="C1476" s="12" t="s">
        <v>1784</v>
      </c>
      <c r="D1476" s="54"/>
      <c r="E1476" s="39" t="str">
        <f t="shared" si="36"/>
        <v>Еще фото</v>
      </c>
      <c r="F1476" s="13"/>
      <c r="G1476" s="24" t="s">
        <v>808</v>
      </c>
      <c r="H1476" s="24" t="s">
        <v>593</v>
      </c>
      <c r="I1476" s="24" t="s">
        <v>809</v>
      </c>
      <c r="J1476" s="14" t="s">
        <v>29</v>
      </c>
      <c r="K1476" s="15" t="s">
        <v>30</v>
      </c>
      <c r="L1476" s="57"/>
      <c r="M1476" s="14"/>
      <c r="N1476" s="14" t="s">
        <v>125</v>
      </c>
      <c r="O1476" s="14"/>
      <c r="P1476" s="15" t="s">
        <v>1204</v>
      </c>
      <c r="Q1476" s="16">
        <v>12299</v>
      </c>
      <c r="R1476" s="17">
        <v>40</v>
      </c>
      <c r="S1476" s="18">
        <v>8486.31</v>
      </c>
      <c r="T1476" s="19" t="s">
        <v>36</v>
      </c>
      <c r="U1476" s="20" t="s">
        <v>607</v>
      </c>
      <c r="V1476" s="28">
        <v>44.5</v>
      </c>
      <c r="W1476" s="22">
        <v>3</v>
      </c>
      <c r="X1476" s="23"/>
    </row>
    <row r="1477" spans="1:24" s="1" customFormat="1" ht="17.100000000000001" customHeight="1" x14ac:dyDescent="0.3">
      <c r="A1477" s="24" t="s">
        <v>23</v>
      </c>
      <c r="B1477" s="24" t="s">
        <v>1223</v>
      </c>
      <c r="C1477" s="12" t="s">
        <v>1784</v>
      </c>
      <c r="D1477" s="55"/>
      <c r="E1477" s="39" t="str">
        <f t="shared" si="36"/>
        <v>Еще фото</v>
      </c>
      <c r="F1477" s="13"/>
      <c r="G1477" s="24" t="s">
        <v>808</v>
      </c>
      <c r="H1477" s="24" t="s">
        <v>593</v>
      </c>
      <c r="I1477" s="24" t="s">
        <v>809</v>
      </c>
      <c r="J1477" s="14" t="s">
        <v>29</v>
      </c>
      <c r="K1477" s="15" t="s">
        <v>30</v>
      </c>
      <c r="L1477" s="58"/>
      <c r="M1477" s="14"/>
      <c r="N1477" s="14" t="s">
        <v>125</v>
      </c>
      <c r="O1477" s="14"/>
      <c r="P1477" s="15" t="s">
        <v>1204</v>
      </c>
      <c r="Q1477" s="16">
        <v>12299</v>
      </c>
      <c r="R1477" s="17">
        <v>40</v>
      </c>
      <c r="S1477" s="18">
        <v>8486.31</v>
      </c>
      <c r="T1477" s="19" t="s">
        <v>36</v>
      </c>
      <c r="U1477" s="20" t="s">
        <v>608</v>
      </c>
      <c r="V1477" s="22">
        <v>45</v>
      </c>
      <c r="W1477" s="22">
        <v>9</v>
      </c>
      <c r="X1477" s="23"/>
    </row>
    <row r="1478" spans="1:24" s="1" customFormat="1" ht="26.1" customHeight="1" x14ac:dyDescent="0.3">
      <c r="A1478" s="11" t="s">
        <v>23</v>
      </c>
      <c r="B1478" s="11" t="s">
        <v>1223</v>
      </c>
      <c r="C1478" s="12" t="s">
        <v>1785</v>
      </c>
      <c r="D1478" s="53"/>
      <c r="E1478" s="39" t="str">
        <f>HYPERLINK("https://www.google.ru/search?q=6006717-835&amp;newwindow=1&amp;tbm=isch","Еще фото")</f>
        <v>Еще фото</v>
      </c>
      <c r="F1478" s="13"/>
      <c r="G1478" s="11" t="s">
        <v>808</v>
      </c>
      <c r="H1478" s="11" t="s">
        <v>593</v>
      </c>
      <c r="I1478" s="14" t="s">
        <v>809</v>
      </c>
      <c r="J1478" s="14" t="s">
        <v>29</v>
      </c>
      <c r="K1478" s="15" t="s">
        <v>30</v>
      </c>
      <c r="L1478" s="56"/>
      <c r="M1478" s="14"/>
      <c r="N1478" s="14" t="s">
        <v>434</v>
      </c>
      <c r="O1478" s="14"/>
      <c r="P1478" s="15" t="s">
        <v>1204</v>
      </c>
      <c r="Q1478" s="16">
        <v>12299</v>
      </c>
      <c r="R1478" s="17">
        <v>40</v>
      </c>
      <c r="S1478" s="18">
        <v>8486.31</v>
      </c>
      <c r="T1478" s="19" t="s">
        <v>36</v>
      </c>
      <c r="U1478" s="20" t="s">
        <v>599</v>
      </c>
      <c r="V1478" s="28">
        <v>39.5</v>
      </c>
      <c r="W1478" s="22">
        <v>6</v>
      </c>
      <c r="X1478" s="23"/>
    </row>
    <row r="1479" spans="1:24" s="1" customFormat="1" ht="26.1" customHeight="1" x14ac:dyDescent="0.3">
      <c r="A1479" s="24" t="s">
        <v>23</v>
      </c>
      <c r="B1479" s="24" t="s">
        <v>1223</v>
      </c>
      <c r="C1479" s="12" t="s">
        <v>1785</v>
      </c>
      <c r="D1479" s="54"/>
      <c r="E1479" s="39" t="str">
        <f>HYPERLINK("https://www.google.ru/search?q=6006717-835&amp;newwindow=1&amp;tbm=isch","Еще фото")</f>
        <v>Еще фото</v>
      </c>
      <c r="F1479" s="13"/>
      <c r="G1479" s="24" t="s">
        <v>808</v>
      </c>
      <c r="H1479" s="24" t="s">
        <v>593</v>
      </c>
      <c r="I1479" s="24" t="s">
        <v>809</v>
      </c>
      <c r="J1479" s="14" t="s">
        <v>29</v>
      </c>
      <c r="K1479" s="15" t="s">
        <v>30</v>
      </c>
      <c r="L1479" s="57"/>
      <c r="M1479" s="14"/>
      <c r="N1479" s="14" t="s">
        <v>434</v>
      </c>
      <c r="O1479" s="14"/>
      <c r="P1479" s="15" t="s">
        <v>1204</v>
      </c>
      <c r="Q1479" s="16">
        <v>12299</v>
      </c>
      <c r="R1479" s="17">
        <v>40</v>
      </c>
      <c r="S1479" s="18">
        <v>8486.31</v>
      </c>
      <c r="T1479" s="19" t="s">
        <v>36</v>
      </c>
      <c r="U1479" s="20" t="s">
        <v>600</v>
      </c>
      <c r="V1479" s="22">
        <v>40</v>
      </c>
      <c r="W1479" s="22">
        <v>7</v>
      </c>
      <c r="X1479" s="23"/>
    </row>
    <row r="1480" spans="1:24" s="1" customFormat="1" ht="26.1" customHeight="1" x14ac:dyDescent="0.3">
      <c r="A1480" s="24" t="s">
        <v>23</v>
      </c>
      <c r="B1480" s="24" t="s">
        <v>1223</v>
      </c>
      <c r="C1480" s="12" t="s">
        <v>1785</v>
      </c>
      <c r="D1480" s="54"/>
      <c r="E1480" s="39" t="str">
        <f>HYPERLINK("https://www.google.ru/search?q=6006717-835&amp;newwindow=1&amp;tbm=isch","Еще фото")</f>
        <v>Еще фото</v>
      </c>
      <c r="F1480" s="13"/>
      <c r="G1480" s="24" t="s">
        <v>808</v>
      </c>
      <c r="H1480" s="24" t="s">
        <v>593</v>
      </c>
      <c r="I1480" s="24" t="s">
        <v>809</v>
      </c>
      <c r="J1480" s="14" t="s">
        <v>29</v>
      </c>
      <c r="K1480" s="15" t="s">
        <v>30</v>
      </c>
      <c r="L1480" s="57"/>
      <c r="M1480" s="14"/>
      <c r="N1480" s="14" t="s">
        <v>434</v>
      </c>
      <c r="O1480" s="14"/>
      <c r="P1480" s="15" t="s">
        <v>1204</v>
      </c>
      <c r="Q1480" s="16">
        <v>12299</v>
      </c>
      <c r="R1480" s="17">
        <v>40</v>
      </c>
      <c r="S1480" s="18">
        <v>8486.31</v>
      </c>
      <c r="T1480" s="19" t="s">
        <v>36</v>
      </c>
      <c r="U1480" s="20" t="s">
        <v>602</v>
      </c>
      <c r="V1480" s="28">
        <v>41.5</v>
      </c>
      <c r="W1480" s="22">
        <v>5</v>
      </c>
      <c r="X1480" s="23"/>
    </row>
    <row r="1481" spans="1:24" s="1" customFormat="1" ht="26.1" customHeight="1" x14ac:dyDescent="0.3">
      <c r="A1481" s="24" t="s">
        <v>23</v>
      </c>
      <c r="B1481" s="24" t="s">
        <v>1223</v>
      </c>
      <c r="C1481" s="12" t="s">
        <v>1785</v>
      </c>
      <c r="D1481" s="55"/>
      <c r="E1481" s="39" t="str">
        <f>HYPERLINK("https://www.google.ru/search?q=6006717-835&amp;newwindow=1&amp;tbm=isch","Еще фото")</f>
        <v>Еще фото</v>
      </c>
      <c r="F1481" s="13"/>
      <c r="G1481" s="24" t="s">
        <v>808</v>
      </c>
      <c r="H1481" s="24" t="s">
        <v>593</v>
      </c>
      <c r="I1481" s="24" t="s">
        <v>809</v>
      </c>
      <c r="J1481" s="14" t="s">
        <v>29</v>
      </c>
      <c r="K1481" s="15" t="s">
        <v>30</v>
      </c>
      <c r="L1481" s="58"/>
      <c r="M1481" s="14"/>
      <c r="N1481" s="14" t="s">
        <v>434</v>
      </c>
      <c r="O1481" s="14"/>
      <c r="P1481" s="15" t="s">
        <v>1204</v>
      </c>
      <c r="Q1481" s="16">
        <v>12299</v>
      </c>
      <c r="R1481" s="17">
        <v>40</v>
      </c>
      <c r="S1481" s="18">
        <v>8486.31</v>
      </c>
      <c r="T1481" s="19" t="s">
        <v>36</v>
      </c>
      <c r="U1481" s="20" t="s">
        <v>604</v>
      </c>
      <c r="V1481" s="22">
        <v>43</v>
      </c>
      <c r="W1481" s="22">
        <v>1</v>
      </c>
      <c r="X1481" s="23"/>
    </row>
    <row r="1482" spans="1:24" s="1" customFormat="1" ht="12.95" customHeight="1" x14ac:dyDescent="0.3">
      <c r="A1482" s="11" t="s">
        <v>23</v>
      </c>
      <c r="B1482" s="11" t="s">
        <v>1786</v>
      </c>
      <c r="C1482" s="12" t="s">
        <v>1787</v>
      </c>
      <c r="D1482" s="53"/>
      <c r="E1482" s="39" t="str">
        <f t="shared" ref="E1482:E1489" si="37">HYPERLINK("https://www.google.ru/search?q=6006718-002&amp;newwindow=1&amp;tbm=isch","Еще фото")</f>
        <v>Еще фото</v>
      </c>
      <c r="F1482" s="13"/>
      <c r="G1482" s="11" t="s">
        <v>808</v>
      </c>
      <c r="H1482" s="11" t="s">
        <v>593</v>
      </c>
      <c r="I1482" s="14" t="s">
        <v>809</v>
      </c>
      <c r="J1482" s="14" t="s">
        <v>29</v>
      </c>
      <c r="K1482" s="15" t="s">
        <v>64</v>
      </c>
      <c r="L1482" s="56"/>
      <c r="M1482" s="14"/>
      <c r="N1482" s="14" t="s">
        <v>33</v>
      </c>
      <c r="O1482" s="14"/>
      <c r="P1482" s="15" t="s">
        <v>870</v>
      </c>
      <c r="Q1482" s="16">
        <v>12499</v>
      </c>
      <c r="R1482" s="17">
        <v>40</v>
      </c>
      <c r="S1482" s="18">
        <v>8624.31</v>
      </c>
      <c r="T1482" s="19" t="s">
        <v>36</v>
      </c>
      <c r="U1482" s="35" t="s">
        <v>820</v>
      </c>
      <c r="V1482" s="22">
        <v>36</v>
      </c>
      <c r="W1482" s="22">
        <v>10</v>
      </c>
      <c r="X1482" s="23"/>
    </row>
    <row r="1483" spans="1:24" s="1" customFormat="1" ht="12.95" customHeight="1" x14ac:dyDescent="0.3">
      <c r="A1483" s="24" t="s">
        <v>23</v>
      </c>
      <c r="B1483" s="24" t="s">
        <v>1786</v>
      </c>
      <c r="C1483" s="12" t="s">
        <v>1787</v>
      </c>
      <c r="D1483" s="54"/>
      <c r="E1483" s="39" t="str">
        <f t="shared" si="37"/>
        <v>Еще фото</v>
      </c>
      <c r="F1483" s="13"/>
      <c r="G1483" s="24" t="s">
        <v>808</v>
      </c>
      <c r="H1483" s="24" t="s">
        <v>593</v>
      </c>
      <c r="I1483" s="24" t="s">
        <v>809</v>
      </c>
      <c r="J1483" s="14" t="s">
        <v>29</v>
      </c>
      <c r="K1483" s="15" t="s">
        <v>64</v>
      </c>
      <c r="L1483" s="57"/>
      <c r="M1483" s="14"/>
      <c r="N1483" s="14" t="s">
        <v>33</v>
      </c>
      <c r="O1483" s="14"/>
      <c r="P1483" s="15" t="s">
        <v>870</v>
      </c>
      <c r="Q1483" s="16">
        <v>12499</v>
      </c>
      <c r="R1483" s="17">
        <v>40</v>
      </c>
      <c r="S1483" s="18">
        <v>8624.31</v>
      </c>
      <c r="T1483" s="19" t="s">
        <v>36</v>
      </c>
      <c r="U1483" s="20" t="s">
        <v>814</v>
      </c>
      <c r="V1483" s="28">
        <v>36.5</v>
      </c>
      <c r="W1483" s="22">
        <v>14</v>
      </c>
      <c r="X1483" s="23"/>
    </row>
    <row r="1484" spans="1:24" s="1" customFormat="1" ht="12.95" customHeight="1" x14ac:dyDescent="0.3">
      <c r="A1484" s="24" t="s">
        <v>23</v>
      </c>
      <c r="B1484" s="24" t="s">
        <v>1786</v>
      </c>
      <c r="C1484" s="12" t="s">
        <v>1787</v>
      </c>
      <c r="D1484" s="54"/>
      <c r="E1484" s="39" t="str">
        <f t="shared" si="37"/>
        <v>Еще фото</v>
      </c>
      <c r="F1484" s="13"/>
      <c r="G1484" s="24" t="s">
        <v>808</v>
      </c>
      <c r="H1484" s="24" t="s">
        <v>593</v>
      </c>
      <c r="I1484" s="24" t="s">
        <v>809</v>
      </c>
      <c r="J1484" s="14" t="s">
        <v>29</v>
      </c>
      <c r="K1484" s="15" t="s">
        <v>64</v>
      </c>
      <c r="L1484" s="57"/>
      <c r="M1484" s="14"/>
      <c r="N1484" s="14" t="s">
        <v>33</v>
      </c>
      <c r="O1484" s="14"/>
      <c r="P1484" s="15" t="s">
        <v>870</v>
      </c>
      <c r="Q1484" s="16">
        <v>12499</v>
      </c>
      <c r="R1484" s="17">
        <v>40</v>
      </c>
      <c r="S1484" s="18">
        <v>8624.31</v>
      </c>
      <c r="T1484" s="19" t="s">
        <v>36</v>
      </c>
      <c r="U1484" s="20" t="s">
        <v>598</v>
      </c>
      <c r="V1484" s="22">
        <v>37</v>
      </c>
      <c r="W1484" s="22">
        <v>17</v>
      </c>
      <c r="X1484" s="23"/>
    </row>
    <row r="1485" spans="1:24" s="1" customFormat="1" ht="12.95" customHeight="1" x14ac:dyDescent="0.3">
      <c r="A1485" s="24" t="s">
        <v>23</v>
      </c>
      <c r="B1485" s="24" t="s">
        <v>1786</v>
      </c>
      <c r="C1485" s="12" t="s">
        <v>1787</v>
      </c>
      <c r="D1485" s="54"/>
      <c r="E1485" s="39" t="str">
        <f t="shared" si="37"/>
        <v>Еще фото</v>
      </c>
      <c r="F1485" s="13"/>
      <c r="G1485" s="24" t="s">
        <v>808</v>
      </c>
      <c r="H1485" s="24" t="s">
        <v>593</v>
      </c>
      <c r="I1485" s="24" t="s">
        <v>809</v>
      </c>
      <c r="J1485" s="14" t="s">
        <v>29</v>
      </c>
      <c r="K1485" s="15" t="s">
        <v>64</v>
      </c>
      <c r="L1485" s="57"/>
      <c r="M1485" s="14"/>
      <c r="N1485" s="14" t="s">
        <v>33</v>
      </c>
      <c r="O1485" s="14"/>
      <c r="P1485" s="15" t="s">
        <v>870</v>
      </c>
      <c r="Q1485" s="16">
        <v>12499</v>
      </c>
      <c r="R1485" s="17">
        <v>40</v>
      </c>
      <c r="S1485" s="18">
        <v>8624.31</v>
      </c>
      <c r="T1485" s="19" t="s">
        <v>36</v>
      </c>
      <c r="U1485" s="20" t="s">
        <v>599</v>
      </c>
      <c r="V1485" s="28">
        <v>37.5</v>
      </c>
      <c r="W1485" s="22">
        <v>19</v>
      </c>
      <c r="X1485" s="23"/>
    </row>
    <row r="1486" spans="1:24" s="1" customFormat="1" ht="12.95" customHeight="1" x14ac:dyDescent="0.3">
      <c r="A1486" s="24" t="s">
        <v>23</v>
      </c>
      <c r="B1486" s="24" t="s">
        <v>1786</v>
      </c>
      <c r="C1486" s="12" t="s">
        <v>1787</v>
      </c>
      <c r="D1486" s="54"/>
      <c r="E1486" s="39" t="str">
        <f t="shared" si="37"/>
        <v>Еще фото</v>
      </c>
      <c r="F1486" s="13"/>
      <c r="G1486" s="24" t="s">
        <v>808</v>
      </c>
      <c r="H1486" s="24" t="s">
        <v>593</v>
      </c>
      <c r="I1486" s="24" t="s">
        <v>809</v>
      </c>
      <c r="J1486" s="14" t="s">
        <v>29</v>
      </c>
      <c r="K1486" s="15" t="s">
        <v>64</v>
      </c>
      <c r="L1486" s="57"/>
      <c r="M1486" s="14"/>
      <c r="N1486" s="14" t="s">
        <v>33</v>
      </c>
      <c r="O1486" s="14"/>
      <c r="P1486" s="15" t="s">
        <v>870</v>
      </c>
      <c r="Q1486" s="16">
        <v>12499</v>
      </c>
      <c r="R1486" s="17">
        <v>40</v>
      </c>
      <c r="S1486" s="18">
        <v>8624.31</v>
      </c>
      <c r="T1486" s="19" t="s">
        <v>36</v>
      </c>
      <c r="U1486" s="20" t="s">
        <v>600</v>
      </c>
      <c r="V1486" s="22">
        <v>38</v>
      </c>
      <c r="W1486" s="22">
        <v>18</v>
      </c>
      <c r="X1486" s="23"/>
    </row>
    <row r="1487" spans="1:24" s="1" customFormat="1" ht="12.95" customHeight="1" x14ac:dyDescent="0.3">
      <c r="A1487" s="24" t="s">
        <v>23</v>
      </c>
      <c r="B1487" s="24" t="s">
        <v>1786</v>
      </c>
      <c r="C1487" s="12" t="s">
        <v>1787</v>
      </c>
      <c r="D1487" s="54"/>
      <c r="E1487" s="39" t="str">
        <f t="shared" si="37"/>
        <v>Еще фото</v>
      </c>
      <c r="F1487" s="13"/>
      <c r="G1487" s="24" t="s">
        <v>808</v>
      </c>
      <c r="H1487" s="24" t="s">
        <v>593</v>
      </c>
      <c r="I1487" s="24" t="s">
        <v>809</v>
      </c>
      <c r="J1487" s="14" t="s">
        <v>29</v>
      </c>
      <c r="K1487" s="15" t="s">
        <v>64</v>
      </c>
      <c r="L1487" s="57"/>
      <c r="M1487" s="14"/>
      <c r="N1487" s="14" t="s">
        <v>33</v>
      </c>
      <c r="O1487" s="14"/>
      <c r="P1487" s="15" t="s">
        <v>870</v>
      </c>
      <c r="Q1487" s="16">
        <v>12499</v>
      </c>
      <c r="R1487" s="17">
        <v>40</v>
      </c>
      <c r="S1487" s="18">
        <v>8624.31</v>
      </c>
      <c r="T1487" s="19" t="s">
        <v>36</v>
      </c>
      <c r="U1487" s="20" t="s">
        <v>601</v>
      </c>
      <c r="V1487" s="22">
        <v>39</v>
      </c>
      <c r="W1487" s="22">
        <v>12</v>
      </c>
      <c r="X1487" s="23"/>
    </row>
    <row r="1488" spans="1:24" s="1" customFormat="1" ht="12.95" customHeight="1" x14ac:dyDescent="0.3">
      <c r="A1488" s="24" t="s">
        <v>23</v>
      </c>
      <c r="B1488" s="24" t="s">
        <v>1786</v>
      </c>
      <c r="C1488" s="12" t="s">
        <v>1787</v>
      </c>
      <c r="D1488" s="54"/>
      <c r="E1488" s="39" t="str">
        <f t="shared" si="37"/>
        <v>Еще фото</v>
      </c>
      <c r="F1488" s="13"/>
      <c r="G1488" s="24" t="s">
        <v>808</v>
      </c>
      <c r="H1488" s="24" t="s">
        <v>593</v>
      </c>
      <c r="I1488" s="24" t="s">
        <v>809</v>
      </c>
      <c r="J1488" s="14" t="s">
        <v>29</v>
      </c>
      <c r="K1488" s="15" t="s">
        <v>64</v>
      </c>
      <c r="L1488" s="57"/>
      <c r="M1488" s="14"/>
      <c r="N1488" s="14" t="s">
        <v>33</v>
      </c>
      <c r="O1488" s="14"/>
      <c r="P1488" s="15" t="s">
        <v>870</v>
      </c>
      <c r="Q1488" s="16">
        <v>12499</v>
      </c>
      <c r="R1488" s="17">
        <v>40</v>
      </c>
      <c r="S1488" s="18">
        <v>8624.31</v>
      </c>
      <c r="T1488" s="19" t="s">
        <v>36</v>
      </c>
      <c r="U1488" s="20" t="s">
        <v>602</v>
      </c>
      <c r="V1488" s="28">
        <v>39.5</v>
      </c>
      <c r="W1488" s="22">
        <v>6</v>
      </c>
      <c r="X1488" s="23"/>
    </row>
    <row r="1489" spans="1:24" s="1" customFormat="1" ht="18" customHeight="1" x14ac:dyDescent="0.3">
      <c r="A1489" s="24" t="s">
        <v>23</v>
      </c>
      <c r="B1489" s="24" t="s">
        <v>1786</v>
      </c>
      <c r="C1489" s="12" t="s">
        <v>1787</v>
      </c>
      <c r="D1489" s="55"/>
      <c r="E1489" s="39" t="str">
        <f t="shared" si="37"/>
        <v>Еще фото</v>
      </c>
      <c r="F1489" s="13"/>
      <c r="G1489" s="24" t="s">
        <v>808</v>
      </c>
      <c r="H1489" s="24" t="s">
        <v>593</v>
      </c>
      <c r="I1489" s="24" t="s">
        <v>809</v>
      </c>
      <c r="J1489" s="14" t="s">
        <v>29</v>
      </c>
      <c r="K1489" s="15" t="s">
        <v>64</v>
      </c>
      <c r="L1489" s="58"/>
      <c r="M1489" s="14"/>
      <c r="N1489" s="14" t="s">
        <v>33</v>
      </c>
      <c r="O1489" s="14"/>
      <c r="P1489" s="15" t="s">
        <v>870</v>
      </c>
      <c r="Q1489" s="16">
        <v>12499</v>
      </c>
      <c r="R1489" s="17">
        <v>40</v>
      </c>
      <c r="S1489" s="18">
        <v>8624.31</v>
      </c>
      <c r="T1489" s="19" t="s">
        <v>36</v>
      </c>
      <c r="U1489" s="20" t="s">
        <v>603</v>
      </c>
      <c r="V1489" s="22">
        <v>40</v>
      </c>
      <c r="W1489" s="22">
        <v>1</v>
      </c>
      <c r="X1489" s="23"/>
    </row>
    <row r="1490" spans="1:24" s="1" customFormat="1" ht="108" customHeight="1" x14ac:dyDescent="0.3">
      <c r="A1490" s="11" t="s">
        <v>23</v>
      </c>
      <c r="B1490" s="11" t="s">
        <v>1786</v>
      </c>
      <c r="C1490" s="12" t="s">
        <v>1788</v>
      </c>
      <c r="D1490" s="25"/>
      <c r="E1490" s="39" t="str">
        <f>HYPERLINK("https://www.google.ru/search?q=6006718-101&amp;newwindow=1&amp;tbm=isch","Еще фото")</f>
        <v>Еще фото</v>
      </c>
      <c r="F1490" s="13" t="s">
        <v>310</v>
      </c>
      <c r="G1490" s="11" t="s">
        <v>808</v>
      </c>
      <c r="H1490" s="11" t="s">
        <v>593</v>
      </c>
      <c r="I1490" s="14" t="s">
        <v>809</v>
      </c>
      <c r="J1490" s="14" t="s">
        <v>29</v>
      </c>
      <c r="K1490" s="15" t="s">
        <v>64</v>
      </c>
      <c r="L1490" s="14" t="s">
        <v>1789</v>
      </c>
      <c r="M1490" s="14"/>
      <c r="N1490" s="14" t="s">
        <v>74</v>
      </c>
      <c r="O1490" s="14"/>
      <c r="P1490" s="15" t="s">
        <v>1783</v>
      </c>
      <c r="Q1490" s="16">
        <v>12499</v>
      </c>
      <c r="R1490" s="17">
        <v>40</v>
      </c>
      <c r="S1490" s="18">
        <v>8624.31</v>
      </c>
      <c r="T1490" s="19" t="s">
        <v>36</v>
      </c>
      <c r="U1490" s="20" t="s">
        <v>814</v>
      </c>
      <c r="V1490" s="28">
        <v>36.5</v>
      </c>
      <c r="W1490" s="22">
        <v>9</v>
      </c>
      <c r="X1490" s="23"/>
    </row>
    <row r="1491" spans="1:24" s="1" customFormat="1" ht="108" customHeight="1" x14ac:dyDescent="0.3">
      <c r="A1491" s="11" t="s">
        <v>23</v>
      </c>
      <c r="B1491" s="11" t="s">
        <v>1790</v>
      </c>
      <c r="C1491" s="12" t="s">
        <v>1791</v>
      </c>
      <c r="D1491" s="25"/>
      <c r="E1491" s="39" t="str">
        <f>HYPERLINK("https://www.google.ru/search?q=6006719-002&amp;newwindow=1&amp;tbm=isch","Еще фото")</f>
        <v>Еще фото</v>
      </c>
      <c r="F1491" s="13" t="s">
        <v>98</v>
      </c>
      <c r="G1491" s="11" t="s">
        <v>808</v>
      </c>
      <c r="H1491" s="11" t="s">
        <v>593</v>
      </c>
      <c r="I1491" s="14" t="s">
        <v>809</v>
      </c>
      <c r="J1491" s="14" t="s">
        <v>29</v>
      </c>
      <c r="K1491" s="15" t="s">
        <v>30</v>
      </c>
      <c r="L1491" s="14" t="s">
        <v>1792</v>
      </c>
      <c r="M1491" s="14"/>
      <c r="N1491" s="14" t="s">
        <v>33</v>
      </c>
      <c r="O1491" s="14"/>
      <c r="P1491" s="15" t="s">
        <v>919</v>
      </c>
      <c r="Q1491" s="16">
        <v>11199</v>
      </c>
      <c r="R1491" s="17">
        <v>40</v>
      </c>
      <c r="S1491" s="18">
        <v>7727.3099999999986</v>
      </c>
      <c r="T1491" s="19" t="s">
        <v>36</v>
      </c>
      <c r="U1491" s="20" t="s">
        <v>598</v>
      </c>
      <c r="V1491" s="22">
        <v>39</v>
      </c>
      <c r="W1491" s="22">
        <v>2</v>
      </c>
      <c r="X1491" s="23"/>
    </row>
    <row r="1492" spans="1:24" s="1" customFormat="1" ht="108" customHeight="1" x14ac:dyDescent="0.3">
      <c r="A1492" s="11" t="s">
        <v>23</v>
      </c>
      <c r="B1492" s="11" t="s">
        <v>1790</v>
      </c>
      <c r="C1492" s="12" t="s">
        <v>1793</v>
      </c>
      <c r="D1492" s="25"/>
      <c r="E1492" s="39" t="str">
        <f>HYPERLINK("https://www.google.ru/search?q=6006719-025&amp;newwindow=1&amp;tbm=isch","Еще фото")</f>
        <v>Еще фото</v>
      </c>
      <c r="F1492" s="13"/>
      <c r="G1492" s="11" t="s">
        <v>808</v>
      </c>
      <c r="H1492" s="11" t="s">
        <v>593</v>
      </c>
      <c r="I1492" s="14" t="s">
        <v>809</v>
      </c>
      <c r="J1492" s="14" t="s">
        <v>29</v>
      </c>
      <c r="K1492" s="15" t="s">
        <v>30</v>
      </c>
      <c r="L1492" s="14" t="s">
        <v>1792</v>
      </c>
      <c r="M1492" s="14"/>
      <c r="N1492" s="14" t="s">
        <v>84</v>
      </c>
      <c r="O1492" s="14"/>
      <c r="P1492" s="15" t="s">
        <v>1794</v>
      </c>
      <c r="Q1492" s="16">
        <v>11199</v>
      </c>
      <c r="R1492" s="17">
        <v>40</v>
      </c>
      <c r="S1492" s="18">
        <v>7727.3099999999986</v>
      </c>
      <c r="T1492" s="19" t="s">
        <v>36</v>
      </c>
      <c r="U1492" s="20" t="s">
        <v>601</v>
      </c>
      <c r="V1492" s="22">
        <v>41</v>
      </c>
      <c r="W1492" s="22">
        <v>2</v>
      </c>
      <c r="X1492" s="23"/>
    </row>
    <row r="1493" spans="1:24" s="1" customFormat="1" ht="21" customHeight="1" x14ac:dyDescent="0.3">
      <c r="A1493" s="11" t="s">
        <v>23</v>
      </c>
      <c r="B1493" s="11" t="s">
        <v>1790</v>
      </c>
      <c r="C1493" s="26" t="s">
        <v>1795</v>
      </c>
      <c r="D1493" s="53"/>
      <c r="E1493" s="39" t="str">
        <f>HYPERLINK("https://www.google.ru/search?q=6006719-100&amp;newwindow=1&amp;tbm=isch","Еще фото")</f>
        <v>Еще фото</v>
      </c>
      <c r="F1493" s="13"/>
      <c r="G1493" s="11" t="s">
        <v>808</v>
      </c>
      <c r="H1493" s="11" t="s">
        <v>593</v>
      </c>
      <c r="I1493" s="14" t="s">
        <v>809</v>
      </c>
      <c r="J1493" s="14" t="s">
        <v>29</v>
      </c>
      <c r="K1493" s="15" t="s">
        <v>30</v>
      </c>
      <c r="L1493" s="56"/>
      <c r="M1493" s="14"/>
      <c r="N1493" s="14" t="s">
        <v>74</v>
      </c>
      <c r="O1493" s="14"/>
      <c r="P1493" s="15" t="s">
        <v>919</v>
      </c>
      <c r="Q1493" s="16">
        <v>11199</v>
      </c>
      <c r="R1493" s="17">
        <v>40</v>
      </c>
      <c r="S1493" s="18">
        <v>7727.3099999999986</v>
      </c>
      <c r="T1493" s="19" t="s">
        <v>36</v>
      </c>
      <c r="U1493" s="20" t="s">
        <v>600</v>
      </c>
      <c r="V1493" s="22">
        <v>40</v>
      </c>
      <c r="W1493" s="22">
        <v>1</v>
      </c>
      <c r="X1493" s="23"/>
    </row>
    <row r="1494" spans="1:24" s="1" customFormat="1" ht="21" customHeight="1" x14ac:dyDescent="0.3">
      <c r="A1494" s="24" t="s">
        <v>23</v>
      </c>
      <c r="B1494" s="24" t="s">
        <v>1790</v>
      </c>
      <c r="C1494" s="27" t="s">
        <v>1795</v>
      </c>
      <c r="D1494" s="54"/>
      <c r="E1494" s="39" t="str">
        <f>HYPERLINK("https://www.google.ru/search?q=6006719-100&amp;newwindow=1&amp;tbm=isch","Еще фото")</f>
        <v>Еще фото</v>
      </c>
      <c r="F1494" s="13"/>
      <c r="G1494" s="24" t="s">
        <v>808</v>
      </c>
      <c r="H1494" s="24" t="s">
        <v>593</v>
      </c>
      <c r="I1494" s="24" t="s">
        <v>809</v>
      </c>
      <c r="J1494" s="14" t="s">
        <v>29</v>
      </c>
      <c r="K1494" s="15" t="s">
        <v>30</v>
      </c>
      <c r="L1494" s="57"/>
      <c r="M1494" s="14"/>
      <c r="N1494" s="14" t="s">
        <v>74</v>
      </c>
      <c r="O1494" s="14"/>
      <c r="P1494" s="15" t="s">
        <v>919</v>
      </c>
      <c r="Q1494" s="16">
        <v>11199</v>
      </c>
      <c r="R1494" s="17">
        <v>40</v>
      </c>
      <c r="S1494" s="18">
        <v>7727.3099999999986</v>
      </c>
      <c r="T1494" s="19" t="s">
        <v>36</v>
      </c>
      <c r="U1494" s="20" t="s">
        <v>601</v>
      </c>
      <c r="V1494" s="22">
        <v>41</v>
      </c>
      <c r="W1494" s="22">
        <v>3</v>
      </c>
      <c r="X1494" s="23"/>
    </row>
    <row r="1495" spans="1:24" s="1" customFormat="1" ht="21" customHeight="1" x14ac:dyDescent="0.3">
      <c r="A1495" s="24" t="s">
        <v>23</v>
      </c>
      <c r="B1495" s="24" t="s">
        <v>1790</v>
      </c>
      <c r="C1495" s="27" t="s">
        <v>1795</v>
      </c>
      <c r="D1495" s="54"/>
      <c r="E1495" s="39" t="str">
        <f>HYPERLINK("https://www.google.ru/search?q=6006719-100&amp;newwindow=1&amp;tbm=isch","Еще фото")</f>
        <v>Еще фото</v>
      </c>
      <c r="F1495" s="13"/>
      <c r="G1495" s="24" t="s">
        <v>808</v>
      </c>
      <c r="H1495" s="24" t="s">
        <v>593</v>
      </c>
      <c r="I1495" s="24" t="s">
        <v>809</v>
      </c>
      <c r="J1495" s="14" t="s">
        <v>29</v>
      </c>
      <c r="K1495" s="15" t="s">
        <v>30</v>
      </c>
      <c r="L1495" s="57"/>
      <c r="M1495" s="14"/>
      <c r="N1495" s="14" t="s">
        <v>74</v>
      </c>
      <c r="O1495" s="14"/>
      <c r="P1495" s="15" t="s">
        <v>919</v>
      </c>
      <c r="Q1495" s="16">
        <v>11199</v>
      </c>
      <c r="R1495" s="17">
        <v>40</v>
      </c>
      <c r="S1495" s="18">
        <v>7727.3099999999986</v>
      </c>
      <c r="T1495" s="19" t="s">
        <v>36</v>
      </c>
      <c r="U1495" s="20" t="s">
        <v>603</v>
      </c>
      <c r="V1495" s="22">
        <v>42</v>
      </c>
      <c r="W1495" s="22">
        <v>5</v>
      </c>
      <c r="X1495" s="23"/>
    </row>
    <row r="1496" spans="1:24" s="1" customFormat="1" ht="21" customHeight="1" x14ac:dyDescent="0.3">
      <c r="A1496" s="24" t="s">
        <v>23</v>
      </c>
      <c r="B1496" s="24" t="s">
        <v>1790</v>
      </c>
      <c r="C1496" s="27" t="s">
        <v>1795</v>
      </c>
      <c r="D1496" s="54"/>
      <c r="E1496" s="39" t="str">
        <f>HYPERLINK("https://www.google.ru/search?q=6006719-100&amp;newwindow=1&amp;tbm=isch","Еще фото")</f>
        <v>Еще фото</v>
      </c>
      <c r="F1496" s="13"/>
      <c r="G1496" s="24" t="s">
        <v>808</v>
      </c>
      <c r="H1496" s="24" t="s">
        <v>593</v>
      </c>
      <c r="I1496" s="24" t="s">
        <v>809</v>
      </c>
      <c r="J1496" s="14" t="s">
        <v>29</v>
      </c>
      <c r="K1496" s="15" t="s">
        <v>30</v>
      </c>
      <c r="L1496" s="57"/>
      <c r="M1496" s="14"/>
      <c r="N1496" s="14" t="s">
        <v>74</v>
      </c>
      <c r="O1496" s="14"/>
      <c r="P1496" s="15" t="s">
        <v>919</v>
      </c>
      <c r="Q1496" s="16">
        <v>11199</v>
      </c>
      <c r="R1496" s="17">
        <v>40</v>
      </c>
      <c r="S1496" s="18">
        <v>7727.3099999999986</v>
      </c>
      <c r="T1496" s="19" t="s">
        <v>36</v>
      </c>
      <c r="U1496" s="20" t="s">
        <v>605</v>
      </c>
      <c r="V1496" s="28">
        <v>43.5</v>
      </c>
      <c r="W1496" s="22">
        <v>9</v>
      </c>
      <c r="X1496" s="23"/>
    </row>
    <row r="1497" spans="1:24" s="1" customFormat="1" ht="32.1" customHeight="1" x14ac:dyDescent="0.3">
      <c r="A1497" s="24" t="s">
        <v>23</v>
      </c>
      <c r="B1497" s="24" t="s">
        <v>1790</v>
      </c>
      <c r="C1497" s="27" t="s">
        <v>1795</v>
      </c>
      <c r="D1497" s="55"/>
      <c r="E1497" s="39" t="str">
        <f>HYPERLINK("https://www.google.ru/search?q=6006719-100&amp;newwindow=1&amp;tbm=isch","Еще фото")</f>
        <v>Еще фото</v>
      </c>
      <c r="F1497" s="13"/>
      <c r="G1497" s="24" t="s">
        <v>808</v>
      </c>
      <c r="H1497" s="24" t="s">
        <v>593</v>
      </c>
      <c r="I1497" s="24" t="s">
        <v>809</v>
      </c>
      <c r="J1497" s="14" t="s">
        <v>29</v>
      </c>
      <c r="K1497" s="15" t="s">
        <v>30</v>
      </c>
      <c r="L1497" s="58"/>
      <c r="M1497" s="14"/>
      <c r="N1497" s="14" t="s">
        <v>74</v>
      </c>
      <c r="O1497" s="14"/>
      <c r="P1497" s="15" t="s">
        <v>919</v>
      </c>
      <c r="Q1497" s="16">
        <v>11199</v>
      </c>
      <c r="R1497" s="17">
        <v>40</v>
      </c>
      <c r="S1497" s="18">
        <v>7727.3099999999986</v>
      </c>
      <c r="T1497" s="19" t="s">
        <v>36</v>
      </c>
      <c r="U1497" s="20" t="s">
        <v>607</v>
      </c>
      <c r="V1497" s="28">
        <v>44.5</v>
      </c>
      <c r="W1497" s="22">
        <v>5</v>
      </c>
      <c r="X1497" s="23"/>
    </row>
    <row r="1498" spans="1:24" s="1" customFormat="1" ht="108" customHeight="1" x14ac:dyDescent="0.3">
      <c r="A1498" s="11" t="s">
        <v>23</v>
      </c>
      <c r="B1498" s="11" t="s">
        <v>1796</v>
      </c>
      <c r="C1498" s="12" t="s">
        <v>1797</v>
      </c>
      <c r="D1498" s="25"/>
      <c r="E1498" s="39" t="str">
        <f>HYPERLINK("https://www.google.ru/search?q=6007140-016&amp;newwindow=1&amp;tbm=isch","Еще фото")</f>
        <v>Еще фото</v>
      </c>
      <c r="F1498" s="13" t="s">
        <v>98</v>
      </c>
      <c r="G1498" s="11" t="s">
        <v>808</v>
      </c>
      <c r="H1498" s="11" t="s">
        <v>593</v>
      </c>
      <c r="I1498" s="14" t="s">
        <v>809</v>
      </c>
      <c r="J1498" s="14" t="s">
        <v>29</v>
      </c>
      <c r="K1498" s="15" t="s">
        <v>30</v>
      </c>
      <c r="L1498" s="14" t="s">
        <v>1798</v>
      </c>
      <c r="M1498" s="14"/>
      <c r="N1498" s="14" t="s">
        <v>84</v>
      </c>
      <c r="O1498" s="14"/>
      <c r="P1498" s="15" t="s">
        <v>1064</v>
      </c>
      <c r="Q1498" s="16">
        <v>11199</v>
      </c>
      <c r="R1498" s="17">
        <v>40</v>
      </c>
      <c r="S1498" s="18">
        <v>7727.3099999999986</v>
      </c>
      <c r="T1498" s="19" t="s">
        <v>36</v>
      </c>
      <c r="U1498" s="20" t="s">
        <v>602</v>
      </c>
      <c r="V1498" s="28">
        <v>41.5</v>
      </c>
      <c r="W1498" s="22">
        <v>1</v>
      </c>
      <c r="X1498" s="23"/>
    </row>
    <row r="1499" spans="1:24" s="1" customFormat="1" ht="108" customHeight="1" x14ac:dyDescent="0.3">
      <c r="A1499" s="11" t="s">
        <v>23</v>
      </c>
      <c r="B1499" s="11" t="s">
        <v>1799</v>
      </c>
      <c r="C1499" s="12" t="s">
        <v>1800</v>
      </c>
      <c r="D1499" s="25"/>
      <c r="E1499" s="39" t="str">
        <f>HYPERLINK("https://www.google.ru/search?q=6009107-002&amp;newwindow=1&amp;tbm=isch","Еще фото")</f>
        <v>Еще фото</v>
      </c>
      <c r="F1499" s="13" t="s">
        <v>98</v>
      </c>
      <c r="G1499" s="11" t="s">
        <v>808</v>
      </c>
      <c r="H1499" s="11" t="s">
        <v>593</v>
      </c>
      <c r="I1499" s="14" t="s">
        <v>809</v>
      </c>
      <c r="J1499" s="14" t="s">
        <v>29</v>
      </c>
      <c r="K1499" s="15" t="s">
        <v>30</v>
      </c>
      <c r="L1499" s="14" t="s">
        <v>1801</v>
      </c>
      <c r="M1499" s="14"/>
      <c r="N1499" s="14" t="s">
        <v>33</v>
      </c>
      <c r="O1499" s="14"/>
      <c r="P1499" s="15" t="s">
        <v>870</v>
      </c>
      <c r="Q1499" s="16">
        <v>14499</v>
      </c>
      <c r="R1499" s="17">
        <v>40</v>
      </c>
      <c r="S1499" s="18">
        <v>10004.31</v>
      </c>
      <c r="T1499" s="19" t="s">
        <v>36</v>
      </c>
      <c r="U1499" s="20" t="s">
        <v>605</v>
      </c>
      <c r="V1499" s="28">
        <v>43.5</v>
      </c>
      <c r="W1499" s="22">
        <v>1</v>
      </c>
      <c r="X1499" s="23"/>
    </row>
    <row r="1500" spans="1:24" s="1" customFormat="1" ht="11.1" customHeight="1" x14ac:dyDescent="0.3">
      <c r="A1500" s="11" t="s">
        <v>23</v>
      </c>
      <c r="B1500" s="11" t="s">
        <v>1799</v>
      </c>
      <c r="C1500" s="12" t="s">
        <v>1802</v>
      </c>
      <c r="D1500" s="53"/>
      <c r="E1500" s="39" t="str">
        <f t="shared" ref="E1500:E1508" si="38">HYPERLINK("https://www.google.ru/search?q=6009107-100&amp;newwindow=1&amp;tbm=isch","Еще фото")</f>
        <v>Еще фото</v>
      </c>
      <c r="F1500" s="13"/>
      <c r="G1500" s="11" t="s">
        <v>808</v>
      </c>
      <c r="H1500" s="11" t="s">
        <v>593</v>
      </c>
      <c r="I1500" s="14" t="s">
        <v>809</v>
      </c>
      <c r="J1500" s="14" t="s">
        <v>29</v>
      </c>
      <c r="K1500" s="15" t="s">
        <v>30</v>
      </c>
      <c r="L1500" s="56" t="s">
        <v>1801</v>
      </c>
      <c r="M1500" s="14"/>
      <c r="N1500" s="14" t="s">
        <v>74</v>
      </c>
      <c r="O1500" s="14"/>
      <c r="P1500" s="15" t="s">
        <v>1803</v>
      </c>
      <c r="Q1500" s="16">
        <v>14499</v>
      </c>
      <c r="R1500" s="17">
        <v>40</v>
      </c>
      <c r="S1500" s="18">
        <v>10004.31</v>
      </c>
      <c r="T1500" s="19" t="s">
        <v>36</v>
      </c>
      <c r="U1500" s="20" t="s">
        <v>599</v>
      </c>
      <c r="V1500" s="28">
        <v>39.5</v>
      </c>
      <c r="W1500" s="22">
        <v>2</v>
      </c>
      <c r="X1500" s="23"/>
    </row>
    <row r="1501" spans="1:24" s="1" customFormat="1" ht="11.1" customHeight="1" x14ac:dyDescent="0.3">
      <c r="A1501" s="24" t="s">
        <v>23</v>
      </c>
      <c r="B1501" s="24" t="s">
        <v>1799</v>
      </c>
      <c r="C1501" s="12" t="s">
        <v>1802</v>
      </c>
      <c r="D1501" s="54"/>
      <c r="E1501" s="39" t="str">
        <f t="shared" si="38"/>
        <v>Еще фото</v>
      </c>
      <c r="F1501" s="13"/>
      <c r="G1501" s="24" t="s">
        <v>808</v>
      </c>
      <c r="H1501" s="24" t="s">
        <v>593</v>
      </c>
      <c r="I1501" s="24" t="s">
        <v>809</v>
      </c>
      <c r="J1501" s="14" t="s">
        <v>29</v>
      </c>
      <c r="K1501" s="15" t="s">
        <v>30</v>
      </c>
      <c r="L1501" s="57"/>
      <c r="M1501" s="14"/>
      <c r="N1501" s="14" t="s">
        <v>74</v>
      </c>
      <c r="O1501" s="14"/>
      <c r="P1501" s="15" t="s">
        <v>1803</v>
      </c>
      <c r="Q1501" s="16">
        <v>14499</v>
      </c>
      <c r="R1501" s="17">
        <v>40</v>
      </c>
      <c r="S1501" s="18">
        <v>10004.31</v>
      </c>
      <c r="T1501" s="19" t="s">
        <v>36</v>
      </c>
      <c r="U1501" s="20" t="s">
        <v>600</v>
      </c>
      <c r="V1501" s="22">
        <v>40</v>
      </c>
      <c r="W1501" s="22">
        <v>2</v>
      </c>
      <c r="X1501" s="23"/>
    </row>
    <row r="1502" spans="1:24" s="1" customFormat="1" ht="11.1" customHeight="1" x14ac:dyDescent="0.3">
      <c r="A1502" s="24" t="s">
        <v>23</v>
      </c>
      <c r="B1502" s="24" t="s">
        <v>1799</v>
      </c>
      <c r="C1502" s="12" t="s">
        <v>1802</v>
      </c>
      <c r="D1502" s="54"/>
      <c r="E1502" s="39" t="str">
        <f t="shared" si="38"/>
        <v>Еще фото</v>
      </c>
      <c r="F1502" s="13"/>
      <c r="G1502" s="24" t="s">
        <v>808</v>
      </c>
      <c r="H1502" s="24" t="s">
        <v>593</v>
      </c>
      <c r="I1502" s="24" t="s">
        <v>809</v>
      </c>
      <c r="J1502" s="14" t="s">
        <v>29</v>
      </c>
      <c r="K1502" s="15" t="s">
        <v>30</v>
      </c>
      <c r="L1502" s="57"/>
      <c r="M1502" s="14"/>
      <c r="N1502" s="14" t="s">
        <v>74</v>
      </c>
      <c r="O1502" s="14"/>
      <c r="P1502" s="15" t="s">
        <v>1803</v>
      </c>
      <c r="Q1502" s="16">
        <v>14499</v>
      </c>
      <c r="R1502" s="17">
        <v>40</v>
      </c>
      <c r="S1502" s="18">
        <v>10004.31</v>
      </c>
      <c r="T1502" s="19" t="s">
        <v>36</v>
      </c>
      <c r="U1502" s="20" t="s">
        <v>601</v>
      </c>
      <c r="V1502" s="22">
        <v>41</v>
      </c>
      <c r="W1502" s="22">
        <v>3</v>
      </c>
      <c r="X1502" s="23"/>
    </row>
    <row r="1503" spans="1:24" s="1" customFormat="1" ht="11.1" customHeight="1" x14ac:dyDescent="0.3">
      <c r="A1503" s="24" t="s">
        <v>23</v>
      </c>
      <c r="B1503" s="24" t="s">
        <v>1799</v>
      </c>
      <c r="C1503" s="12" t="s">
        <v>1802</v>
      </c>
      <c r="D1503" s="54"/>
      <c r="E1503" s="39" t="str">
        <f t="shared" si="38"/>
        <v>Еще фото</v>
      </c>
      <c r="F1503" s="13"/>
      <c r="G1503" s="24" t="s">
        <v>808</v>
      </c>
      <c r="H1503" s="24" t="s">
        <v>593</v>
      </c>
      <c r="I1503" s="24" t="s">
        <v>809</v>
      </c>
      <c r="J1503" s="14" t="s">
        <v>29</v>
      </c>
      <c r="K1503" s="15" t="s">
        <v>30</v>
      </c>
      <c r="L1503" s="57"/>
      <c r="M1503" s="14"/>
      <c r="N1503" s="14" t="s">
        <v>74</v>
      </c>
      <c r="O1503" s="14"/>
      <c r="P1503" s="15" t="s">
        <v>1803</v>
      </c>
      <c r="Q1503" s="16">
        <v>14499</v>
      </c>
      <c r="R1503" s="17">
        <v>40</v>
      </c>
      <c r="S1503" s="18">
        <v>10004.31</v>
      </c>
      <c r="T1503" s="19" t="s">
        <v>36</v>
      </c>
      <c r="U1503" s="20" t="s">
        <v>602</v>
      </c>
      <c r="V1503" s="28">
        <v>41.5</v>
      </c>
      <c r="W1503" s="22">
        <v>6</v>
      </c>
      <c r="X1503" s="23"/>
    </row>
    <row r="1504" spans="1:24" s="1" customFormat="1" ht="11.1" customHeight="1" x14ac:dyDescent="0.3">
      <c r="A1504" s="24" t="s">
        <v>23</v>
      </c>
      <c r="B1504" s="24" t="s">
        <v>1799</v>
      </c>
      <c r="C1504" s="12" t="s">
        <v>1802</v>
      </c>
      <c r="D1504" s="54"/>
      <c r="E1504" s="39" t="str">
        <f t="shared" si="38"/>
        <v>Еще фото</v>
      </c>
      <c r="F1504" s="13"/>
      <c r="G1504" s="24" t="s">
        <v>808</v>
      </c>
      <c r="H1504" s="24" t="s">
        <v>593</v>
      </c>
      <c r="I1504" s="24" t="s">
        <v>809</v>
      </c>
      <c r="J1504" s="14" t="s">
        <v>29</v>
      </c>
      <c r="K1504" s="15" t="s">
        <v>30</v>
      </c>
      <c r="L1504" s="57"/>
      <c r="M1504" s="14"/>
      <c r="N1504" s="14" t="s">
        <v>74</v>
      </c>
      <c r="O1504" s="14"/>
      <c r="P1504" s="15" t="s">
        <v>1803</v>
      </c>
      <c r="Q1504" s="16">
        <v>14499</v>
      </c>
      <c r="R1504" s="17">
        <v>40</v>
      </c>
      <c r="S1504" s="18">
        <v>10004.31</v>
      </c>
      <c r="T1504" s="19" t="s">
        <v>36</v>
      </c>
      <c r="U1504" s="20" t="s">
        <v>603</v>
      </c>
      <c r="V1504" s="22">
        <v>42</v>
      </c>
      <c r="W1504" s="22">
        <v>4</v>
      </c>
      <c r="X1504" s="23"/>
    </row>
    <row r="1505" spans="1:24" s="1" customFormat="1" ht="11.1" customHeight="1" x14ac:dyDescent="0.3">
      <c r="A1505" s="24" t="s">
        <v>23</v>
      </c>
      <c r="B1505" s="24" t="s">
        <v>1799</v>
      </c>
      <c r="C1505" s="12" t="s">
        <v>1802</v>
      </c>
      <c r="D1505" s="54"/>
      <c r="E1505" s="39" t="str">
        <f t="shared" si="38"/>
        <v>Еще фото</v>
      </c>
      <c r="F1505" s="13"/>
      <c r="G1505" s="24" t="s">
        <v>808</v>
      </c>
      <c r="H1505" s="24" t="s">
        <v>593</v>
      </c>
      <c r="I1505" s="24" t="s">
        <v>809</v>
      </c>
      <c r="J1505" s="14" t="s">
        <v>29</v>
      </c>
      <c r="K1505" s="15" t="s">
        <v>30</v>
      </c>
      <c r="L1505" s="57"/>
      <c r="M1505" s="14"/>
      <c r="N1505" s="14" t="s">
        <v>74</v>
      </c>
      <c r="O1505" s="14"/>
      <c r="P1505" s="15" t="s">
        <v>1803</v>
      </c>
      <c r="Q1505" s="16">
        <v>14499</v>
      </c>
      <c r="R1505" s="17">
        <v>40</v>
      </c>
      <c r="S1505" s="18">
        <v>10004.31</v>
      </c>
      <c r="T1505" s="19" t="s">
        <v>36</v>
      </c>
      <c r="U1505" s="20" t="s">
        <v>604</v>
      </c>
      <c r="V1505" s="22">
        <v>43</v>
      </c>
      <c r="W1505" s="22">
        <v>5</v>
      </c>
      <c r="X1505" s="23"/>
    </row>
    <row r="1506" spans="1:24" s="1" customFormat="1" ht="11.1" customHeight="1" x14ac:dyDescent="0.3">
      <c r="A1506" s="24" t="s">
        <v>23</v>
      </c>
      <c r="B1506" s="24" t="s">
        <v>1799</v>
      </c>
      <c r="C1506" s="12" t="s">
        <v>1802</v>
      </c>
      <c r="D1506" s="54"/>
      <c r="E1506" s="39" t="str">
        <f t="shared" si="38"/>
        <v>Еще фото</v>
      </c>
      <c r="F1506" s="13"/>
      <c r="G1506" s="24" t="s">
        <v>808</v>
      </c>
      <c r="H1506" s="24" t="s">
        <v>593</v>
      </c>
      <c r="I1506" s="24" t="s">
        <v>809</v>
      </c>
      <c r="J1506" s="14" t="s">
        <v>29</v>
      </c>
      <c r="K1506" s="15" t="s">
        <v>30</v>
      </c>
      <c r="L1506" s="57"/>
      <c r="M1506" s="14"/>
      <c r="N1506" s="14" t="s">
        <v>74</v>
      </c>
      <c r="O1506" s="14"/>
      <c r="P1506" s="15" t="s">
        <v>1803</v>
      </c>
      <c r="Q1506" s="16">
        <v>14499</v>
      </c>
      <c r="R1506" s="17">
        <v>40</v>
      </c>
      <c r="S1506" s="18">
        <v>10004.31</v>
      </c>
      <c r="T1506" s="19" t="s">
        <v>36</v>
      </c>
      <c r="U1506" s="20" t="s">
        <v>605</v>
      </c>
      <c r="V1506" s="28">
        <v>43.5</v>
      </c>
      <c r="W1506" s="22">
        <v>8</v>
      </c>
      <c r="X1506" s="23"/>
    </row>
    <row r="1507" spans="1:24" s="1" customFormat="1" ht="11.1" customHeight="1" x14ac:dyDescent="0.3">
      <c r="A1507" s="24" t="s">
        <v>23</v>
      </c>
      <c r="B1507" s="24" t="s">
        <v>1799</v>
      </c>
      <c r="C1507" s="12" t="s">
        <v>1802</v>
      </c>
      <c r="D1507" s="54"/>
      <c r="E1507" s="39" t="str">
        <f t="shared" si="38"/>
        <v>Еще фото</v>
      </c>
      <c r="F1507" s="13"/>
      <c r="G1507" s="24" t="s">
        <v>808</v>
      </c>
      <c r="H1507" s="24" t="s">
        <v>593</v>
      </c>
      <c r="I1507" s="24" t="s">
        <v>809</v>
      </c>
      <c r="J1507" s="14" t="s">
        <v>29</v>
      </c>
      <c r="K1507" s="15" t="s">
        <v>30</v>
      </c>
      <c r="L1507" s="57"/>
      <c r="M1507" s="14"/>
      <c r="N1507" s="14" t="s">
        <v>74</v>
      </c>
      <c r="O1507" s="14"/>
      <c r="P1507" s="15" t="s">
        <v>1803</v>
      </c>
      <c r="Q1507" s="16">
        <v>14499</v>
      </c>
      <c r="R1507" s="17">
        <v>40</v>
      </c>
      <c r="S1507" s="18">
        <v>10004.31</v>
      </c>
      <c r="T1507" s="19" t="s">
        <v>36</v>
      </c>
      <c r="U1507" s="20" t="s">
        <v>607</v>
      </c>
      <c r="V1507" s="28">
        <v>44.5</v>
      </c>
      <c r="W1507" s="22">
        <v>1</v>
      </c>
      <c r="X1507" s="23"/>
    </row>
    <row r="1508" spans="1:24" s="1" customFormat="1" ht="11.1" customHeight="1" x14ac:dyDescent="0.3">
      <c r="A1508" s="24" t="s">
        <v>23</v>
      </c>
      <c r="B1508" s="24" t="s">
        <v>1799</v>
      </c>
      <c r="C1508" s="12" t="s">
        <v>1802</v>
      </c>
      <c r="D1508" s="55"/>
      <c r="E1508" s="39" t="str">
        <f t="shared" si="38"/>
        <v>Еще фото</v>
      </c>
      <c r="F1508" s="13"/>
      <c r="G1508" s="24" t="s">
        <v>808</v>
      </c>
      <c r="H1508" s="24" t="s">
        <v>593</v>
      </c>
      <c r="I1508" s="24" t="s">
        <v>809</v>
      </c>
      <c r="J1508" s="14" t="s">
        <v>29</v>
      </c>
      <c r="K1508" s="15" t="s">
        <v>30</v>
      </c>
      <c r="L1508" s="58"/>
      <c r="M1508" s="14"/>
      <c r="N1508" s="14" t="s">
        <v>74</v>
      </c>
      <c r="O1508" s="14"/>
      <c r="P1508" s="15" t="s">
        <v>1803</v>
      </c>
      <c r="Q1508" s="16">
        <v>14499</v>
      </c>
      <c r="R1508" s="17">
        <v>40</v>
      </c>
      <c r="S1508" s="18">
        <v>10004.31</v>
      </c>
      <c r="T1508" s="19" t="s">
        <v>36</v>
      </c>
      <c r="U1508" s="20" t="s">
        <v>608</v>
      </c>
      <c r="V1508" s="22">
        <v>45</v>
      </c>
      <c r="W1508" s="22">
        <v>2</v>
      </c>
      <c r="X1508" s="23"/>
    </row>
    <row r="1509" spans="1:24" s="1" customFormat="1" ht="11.1" customHeight="1" x14ac:dyDescent="0.3">
      <c r="A1509" s="11" t="s">
        <v>23</v>
      </c>
      <c r="B1509" s="11" t="s">
        <v>1799</v>
      </c>
      <c r="C1509" s="12" t="s">
        <v>1804</v>
      </c>
      <c r="D1509" s="53"/>
      <c r="E1509" s="39" t="str">
        <f t="shared" ref="E1509:E1517" si="39">HYPERLINK("https://www.google.ru/search?q=6009107-102&amp;newwindow=1&amp;tbm=isch","Еще фото")</f>
        <v>Еще фото</v>
      </c>
      <c r="F1509" s="13"/>
      <c r="G1509" s="11" t="s">
        <v>808</v>
      </c>
      <c r="H1509" s="11" t="s">
        <v>593</v>
      </c>
      <c r="I1509" s="14" t="s">
        <v>809</v>
      </c>
      <c r="J1509" s="14" t="s">
        <v>29</v>
      </c>
      <c r="K1509" s="15" t="s">
        <v>30</v>
      </c>
      <c r="L1509" s="56" t="s">
        <v>1801</v>
      </c>
      <c r="M1509" s="14"/>
      <c r="N1509" s="14" t="s">
        <v>74</v>
      </c>
      <c r="O1509" s="14"/>
      <c r="P1509" s="15" t="s">
        <v>1803</v>
      </c>
      <c r="Q1509" s="16">
        <v>14499</v>
      </c>
      <c r="R1509" s="17">
        <v>40</v>
      </c>
      <c r="S1509" s="18">
        <v>10004.31</v>
      </c>
      <c r="T1509" s="19" t="s">
        <v>36</v>
      </c>
      <c r="U1509" s="20" t="s">
        <v>599</v>
      </c>
      <c r="V1509" s="28">
        <v>39.5</v>
      </c>
      <c r="W1509" s="22">
        <v>2</v>
      </c>
      <c r="X1509" s="23"/>
    </row>
    <row r="1510" spans="1:24" s="1" customFormat="1" ht="11.1" customHeight="1" x14ac:dyDescent="0.3">
      <c r="A1510" s="24" t="s">
        <v>23</v>
      </c>
      <c r="B1510" s="24" t="s">
        <v>1799</v>
      </c>
      <c r="C1510" s="12" t="s">
        <v>1804</v>
      </c>
      <c r="D1510" s="54"/>
      <c r="E1510" s="39" t="str">
        <f t="shared" si="39"/>
        <v>Еще фото</v>
      </c>
      <c r="F1510" s="13"/>
      <c r="G1510" s="24" t="s">
        <v>808</v>
      </c>
      <c r="H1510" s="24" t="s">
        <v>593</v>
      </c>
      <c r="I1510" s="24" t="s">
        <v>809</v>
      </c>
      <c r="J1510" s="14" t="s">
        <v>29</v>
      </c>
      <c r="K1510" s="15" t="s">
        <v>30</v>
      </c>
      <c r="L1510" s="57"/>
      <c r="M1510" s="14"/>
      <c r="N1510" s="14" t="s">
        <v>74</v>
      </c>
      <c r="O1510" s="14"/>
      <c r="P1510" s="15" t="s">
        <v>1803</v>
      </c>
      <c r="Q1510" s="16">
        <v>14499</v>
      </c>
      <c r="R1510" s="17">
        <v>40</v>
      </c>
      <c r="S1510" s="18">
        <v>10004.31</v>
      </c>
      <c r="T1510" s="19" t="s">
        <v>36</v>
      </c>
      <c r="U1510" s="20" t="s">
        <v>600</v>
      </c>
      <c r="V1510" s="22">
        <v>40</v>
      </c>
      <c r="W1510" s="22">
        <v>4</v>
      </c>
      <c r="X1510" s="23"/>
    </row>
    <row r="1511" spans="1:24" s="1" customFormat="1" ht="11.1" customHeight="1" x14ac:dyDescent="0.3">
      <c r="A1511" s="24" t="s">
        <v>23</v>
      </c>
      <c r="B1511" s="24" t="s">
        <v>1799</v>
      </c>
      <c r="C1511" s="12" t="s">
        <v>1804</v>
      </c>
      <c r="D1511" s="54"/>
      <c r="E1511" s="39" t="str">
        <f t="shared" si="39"/>
        <v>Еще фото</v>
      </c>
      <c r="F1511" s="13"/>
      <c r="G1511" s="24" t="s">
        <v>808</v>
      </c>
      <c r="H1511" s="24" t="s">
        <v>593</v>
      </c>
      <c r="I1511" s="24" t="s">
        <v>809</v>
      </c>
      <c r="J1511" s="14" t="s">
        <v>29</v>
      </c>
      <c r="K1511" s="15" t="s">
        <v>30</v>
      </c>
      <c r="L1511" s="57"/>
      <c r="M1511" s="14"/>
      <c r="N1511" s="14" t="s">
        <v>74</v>
      </c>
      <c r="O1511" s="14"/>
      <c r="P1511" s="15" t="s">
        <v>1803</v>
      </c>
      <c r="Q1511" s="16">
        <v>14499</v>
      </c>
      <c r="R1511" s="17">
        <v>40</v>
      </c>
      <c r="S1511" s="18">
        <v>10004.31</v>
      </c>
      <c r="T1511" s="19" t="s">
        <v>36</v>
      </c>
      <c r="U1511" s="20" t="s">
        <v>602</v>
      </c>
      <c r="V1511" s="28">
        <v>41.5</v>
      </c>
      <c r="W1511" s="22">
        <v>2</v>
      </c>
      <c r="X1511" s="23"/>
    </row>
    <row r="1512" spans="1:24" s="1" customFormat="1" ht="11.1" customHeight="1" x14ac:dyDescent="0.3">
      <c r="A1512" s="24" t="s">
        <v>23</v>
      </c>
      <c r="B1512" s="24" t="s">
        <v>1799</v>
      </c>
      <c r="C1512" s="12" t="s">
        <v>1804</v>
      </c>
      <c r="D1512" s="54"/>
      <c r="E1512" s="39" t="str">
        <f t="shared" si="39"/>
        <v>Еще фото</v>
      </c>
      <c r="F1512" s="13"/>
      <c r="G1512" s="24" t="s">
        <v>808</v>
      </c>
      <c r="H1512" s="24" t="s">
        <v>593</v>
      </c>
      <c r="I1512" s="24" t="s">
        <v>809</v>
      </c>
      <c r="J1512" s="14" t="s">
        <v>29</v>
      </c>
      <c r="K1512" s="15" t="s">
        <v>30</v>
      </c>
      <c r="L1512" s="57"/>
      <c r="M1512" s="14"/>
      <c r="N1512" s="14" t="s">
        <v>74</v>
      </c>
      <c r="O1512" s="14"/>
      <c r="P1512" s="15" t="s">
        <v>1803</v>
      </c>
      <c r="Q1512" s="16">
        <v>14499</v>
      </c>
      <c r="R1512" s="17">
        <v>40</v>
      </c>
      <c r="S1512" s="18">
        <v>10004.31</v>
      </c>
      <c r="T1512" s="19" t="s">
        <v>36</v>
      </c>
      <c r="U1512" s="20" t="s">
        <v>603</v>
      </c>
      <c r="V1512" s="22">
        <v>42</v>
      </c>
      <c r="W1512" s="22">
        <v>6</v>
      </c>
      <c r="X1512" s="23"/>
    </row>
    <row r="1513" spans="1:24" s="1" customFormat="1" ht="11.1" customHeight="1" x14ac:dyDescent="0.3">
      <c r="A1513" s="24" t="s">
        <v>23</v>
      </c>
      <c r="B1513" s="24" t="s">
        <v>1799</v>
      </c>
      <c r="C1513" s="12" t="s">
        <v>1804</v>
      </c>
      <c r="D1513" s="54"/>
      <c r="E1513" s="39" t="str">
        <f t="shared" si="39"/>
        <v>Еще фото</v>
      </c>
      <c r="F1513" s="13"/>
      <c r="G1513" s="24" t="s">
        <v>808</v>
      </c>
      <c r="H1513" s="24" t="s">
        <v>593</v>
      </c>
      <c r="I1513" s="24" t="s">
        <v>809</v>
      </c>
      <c r="J1513" s="14" t="s">
        <v>29</v>
      </c>
      <c r="K1513" s="15" t="s">
        <v>30</v>
      </c>
      <c r="L1513" s="57"/>
      <c r="M1513" s="14"/>
      <c r="N1513" s="14" t="s">
        <v>74</v>
      </c>
      <c r="O1513" s="14"/>
      <c r="P1513" s="15" t="s">
        <v>1803</v>
      </c>
      <c r="Q1513" s="16">
        <v>14499</v>
      </c>
      <c r="R1513" s="17">
        <v>40</v>
      </c>
      <c r="S1513" s="18">
        <v>10004.31</v>
      </c>
      <c r="T1513" s="19" t="s">
        <v>36</v>
      </c>
      <c r="U1513" s="20" t="s">
        <v>604</v>
      </c>
      <c r="V1513" s="22">
        <v>43</v>
      </c>
      <c r="W1513" s="22">
        <v>1</v>
      </c>
      <c r="X1513" s="23"/>
    </row>
    <row r="1514" spans="1:24" s="1" customFormat="1" ht="11.1" customHeight="1" x14ac:dyDescent="0.3">
      <c r="A1514" s="24" t="s">
        <v>23</v>
      </c>
      <c r="B1514" s="24" t="s">
        <v>1799</v>
      </c>
      <c r="C1514" s="12" t="s">
        <v>1804</v>
      </c>
      <c r="D1514" s="54"/>
      <c r="E1514" s="39" t="str">
        <f t="shared" si="39"/>
        <v>Еще фото</v>
      </c>
      <c r="F1514" s="13"/>
      <c r="G1514" s="24" t="s">
        <v>808</v>
      </c>
      <c r="H1514" s="24" t="s">
        <v>593</v>
      </c>
      <c r="I1514" s="24" t="s">
        <v>809</v>
      </c>
      <c r="J1514" s="14" t="s">
        <v>29</v>
      </c>
      <c r="K1514" s="15" t="s">
        <v>30</v>
      </c>
      <c r="L1514" s="57"/>
      <c r="M1514" s="14"/>
      <c r="N1514" s="14" t="s">
        <v>74</v>
      </c>
      <c r="O1514" s="14"/>
      <c r="P1514" s="15" t="s">
        <v>1803</v>
      </c>
      <c r="Q1514" s="16">
        <v>14499</v>
      </c>
      <c r="R1514" s="17">
        <v>40</v>
      </c>
      <c r="S1514" s="18">
        <v>10004.31</v>
      </c>
      <c r="T1514" s="19" t="s">
        <v>36</v>
      </c>
      <c r="U1514" s="20" t="s">
        <v>605</v>
      </c>
      <c r="V1514" s="28">
        <v>43.5</v>
      </c>
      <c r="W1514" s="22">
        <v>7</v>
      </c>
      <c r="X1514" s="23"/>
    </row>
    <row r="1515" spans="1:24" s="1" customFormat="1" ht="11.1" customHeight="1" x14ac:dyDescent="0.3">
      <c r="A1515" s="24" t="s">
        <v>23</v>
      </c>
      <c r="B1515" s="24" t="s">
        <v>1799</v>
      </c>
      <c r="C1515" s="12" t="s">
        <v>1804</v>
      </c>
      <c r="D1515" s="54"/>
      <c r="E1515" s="39" t="str">
        <f t="shared" si="39"/>
        <v>Еще фото</v>
      </c>
      <c r="F1515" s="13"/>
      <c r="G1515" s="24" t="s">
        <v>808</v>
      </c>
      <c r="H1515" s="24" t="s">
        <v>593</v>
      </c>
      <c r="I1515" s="24" t="s">
        <v>809</v>
      </c>
      <c r="J1515" s="14" t="s">
        <v>29</v>
      </c>
      <c r="K1515" s="15" t="s">
        <v>30</v>
      </c>
      <c r="L1515" s="57"/>
      <c r="M1515" s="14"/>
      <c r="N1515" s="14" t="s">
        <v>74</v>
      </c>
      <c r="O1515" s="14"/>
      <c r="P1515" s="15" t="s">
        <v>1803</v>
      </c>
      <c r="Q1515" s="16">
        <v>14499</v>
      </c>
      <c r="R1515" s="17">
        <v>40</v>
      </c>
      <c r="S1515" s="18">
        <v>10004.31</v>
      </c>
      <c r="T1515" s="19" t="s">
        <v>36</v>
      </c>
      <c r="U1515" s="20" t="s">
        <v>606</v>
      </c>
      <c r="V1515" s="22">
        <v>44</v>
      </c>
      <c r="W1515" s="22">
        <v>4</v>
      </c>
      <c r="X1515" s="23"/>
    </row>
    <row r="1516" spans="1:24" s="1" customFormat="1" ht="11.1" customHeight="1" x14ac:dyDescent="0.3">
      <c r="A1516" s="24" t="s">
        <v>23</v>
      </c>
      <c r="B1516" s="24" t="s">
        <v>1799</v>
      </c>
      <c r="C1516" s="12" t="s">
        <v>1804</v>
      </c>
      <c r="D1516" s="54"/>
      <c r="E1516" s="39" t="str">
        <f t="shared" si="39"/>
        <v>Еще фото</v>
      </c>
      <c r="F1516" s="13"/>
      <c r="G1516" s="24" t="s">
        <v>808</v>
      </c>
      <c r="H1516" s="24" t="s">
        <v>593</v>
      </c>
      <c r="I1516" s="24" t="s">
        <v>809</v>
      </c>
      <c r="J1516" s="14" t="s">
        <v>29</v>
      </c>
      <c r="K1516" s="15" t="s">
        <v>30</v>
      </c>
      <c r="L1516" s="57"/>
      <c r="M1516" s="14"/>
      <c r="N1516" s="14" t="s">
        <v>74</v>
      </c>
      <c r="O1516" s="14"/>
      <c r="P1516" s="15" t="s">
        <v>1803</v>
      </c>
      <c r="Q1516" s="16">
        <v>14499</v>
      </c>
      <c r="R1516" s="17">
        <v>40</v>
      </c>
      <c r="S1516" s="18">
        <v>10004.31</v>
      </c>
      <c r="T1516" s="19" t="s">
        <v>36</v>
      </c>
      <c r="U1516" s="20" t="s">
        <v>607</v>
      </c>
      <c r="V1516" s="28">
        <v>44.5</v>
      </c>
      <c r="W1516" s="22">
        <v>3</v>
      </c>
      <c r="X1516" s="23"/>
    </row>
    <row r="1517" spans="1:24" s="1" customFormat="1" ht="11.1" customHeight="1" x14ac:dyDescent="0.3">
      <c r="A1517" s="24" t="s">
        <v>23</v>
      </c>
      <c r="B1517" s="24" t="s">
        <v>1799</v>
      </c>
      <c r="C1517" s="12" t="s">
        <v>1804</v>
      </c>
      <c r="D1517" s="55"/>
      <c r="E1517" s="39" t="str">
        <f t="shared" si="39"/>
        <v>Еще фото</v>
      </c>
      <c r="F1517" s="13"/>
      <c r="G1517" s="24" t="s">
        <v>808</v>
      </c>
      <c r="H1517" s="24" t="s">
        <v>593</v>
      </c>
      <c r="I1517" s="24" t="s">
        <v>809</v>
      </c>
      <c r="J1517" s="14" t="s">
        <v>29</v>
      </c>
      <c r="K1517" s="15" t="s">
        <v>30</v>
      </c>
      <c r="L1517" s="58"/>
      <c r="M1517" s="14"/>
      <c r="N1517" s="14" t="s">
        <v>74</v>
      </c>
      <c r="O1517" s="14"/>
      <c r="P1517" s="15" t="s">
        <v>1803</v>
      </c>
      <c r="Q1517" s="16">
        <v>14499</v>
      </c>
      <c r="R1517" s="17">
        <v>40</v>
      </c>
      <c r="S1517" s="18">
        <v>10004.31</v>
      </c>
      <c r="T1517" s="19" t="s">
        <v>36</v>
      </c>
      <c r="U1517" s="20" t="s">
        <v>608</v>
      </c>
      <c r="V1517" s="22">
        <v>45</v>
      </c>
      <c r="W1517" s="22">
        <v>2</v>
      </c>
      <c r="X1517" s="23"/>
    </row>
    <row r="1518" spans="1:24" s="1" customFormat="1" ht="11.1" customHeight="1" x14ac:dyDescent="0.3">
      <c r="A1518" s="11" t="s">
        <v>23</v>
      </c>
      <c r="B1518" s="11" t="s">
        <v>1799</v>
      </c>
      <c r="C1518" s="12" t="s">
        <v>1805</v>
      </c>
      <c r="D1518" s="53"/>
      <c r="E1518" s="39" t="str">
        <f t="shared" ref="E1518:E1528" si="40">HYPERLINK("https://www.google.ru/search?q=6009107-703&amp;newwindow=1&amp;tbm=isch","Еще фото")</f>
        <v>Еще фото</v>
      </c>
      <c r="F1518" s="13"/>
      <c r="G1518" s="11" t="s">
        <v>808</v>
      </c>
      <c r="H1518" s="11" t="s">
        <v>593</v>
      </c>
      <c r="I1518" s="14" t="s">
        <v>809</v>
      </c>
      <c r="J1518" s="14" t="s">
        <v>29</v>
      </c>
      <c r="K1518" s="15" t="s">
        <v>30</v>
      </c>
      <c r="L1518" s="56"/>
      <c r="M1518" s="14"/>
      <c r="N1518" s="14" t="s">
        <v>1806</v>
      </c>
      <c r="O1518" s="14"/>
      <c r="P1518" s="15" t="s">
        <v>1204</v>
      </c>
      <c r="Q1518" s="16">
        <v>14499</v>
      </c>
      <c r="R1518" s="17">
        <v>40</v>
      </c>
      <c r="S1518" s="18">
        <v>10004.31</v>
      </c>
      <c r="T1518" s="19" t="s">
        <v>36</v>
      </c>
      <c r="U1518" s="20" t="s">
        <v>600</v>
      </c>
      <c r="V1518" s="22">
        <v>40</v>
      </c>
      <c r="W1518" s="22">
        <v>4</v>
      </c>
      <c r="X1518" s="23"/>
    </row>
    <row r="1519" spans="1:24" s="1" customFormat="1" ht="11.1" customHeight="1" x14ac:dyDescent="0.3">
      <c r="A1519" s="24" t="s">
        <v>23</v>
      </c>
      <c r="B1519" s="24" t="s">
        <v>1799</v>
      </c>
      <c r="C1519" s="12" t="s">
        <v>1805</v>
      </c>
      <c r="D1519" s="54"/>
      <c r="E1519" s="39" t="str">
        <f t="shared" si="40"/>
        <v>Еще фото</v>
      </c>
      <c r="F1519" s="13"/>
      <c r="G1519" s="24" t="s">
        <v>808</v>
      </c>
      <c r="H1519" s="24" t="s">
        <v>593</v>
      </c>
      <c r="I1519" s="24" t="s">
        <v>809</v>
      </c>
      <c r="J1519" s="14" t="s">
        <v>29</v>
      </c>
      <c r="K1519" s="15" t="s">
        <v>30</v>
      </c>
      <c r="L1519" s="57"/>
      <c r="M1519" s="14"/>
      <c r="N1519" s="14" t="s">
        <v>1806</v>
      </c>
      <c r="O1519" s="14"/>
      <c r="P1519" s="15" t="s">
        <v>1204</v>
      </c>
      <c r="Q1519" s="16">
        <v>14499</v>
      </c>
      <c r="R1519" s="17">
        <v>40</v>
      </c>
      <c r="S1519" s="18">
        <v>10004.31</v>
      </c>
      <c r="T1519" s="19" t="s">
        <v>36</v>
      </c>
      <c r="U1519" s="20" t="s">
        <v>601</v>
      </c>
      <c r="V1519" s="22">
        <v>41</v>
      </c>
      <c r="W1519" s="22">
        <v>4</v>
      </c>
      <c r="X1519" s="23"/>
    </row>
    <row r="1520" spans="1:24" s="1" customFormat="1" ht="11.1" customHeight="1" x14ac:dyDescent="0.3">
      <c r="A1520" s="24" t="s">
        <v>23</v>
      </c>
      <c r="B1520" s="24" t="s">
        <v>1799</v>
      </c>
      <c r="C1520" s="12" t="s">
        <v>1805</v>
      </c>
      <c r="D1520" s="54"/>
      <c r="E1520" s="39" t="str">
        <f t="shared" si="40"/>
        <v>Еще фото</v>
      </c>
      <c r="F1520" s="13"/>
      <c r="G1520" s="24" t="s">
        <v>808</v>
      </c>
      <c r="H1520" s="24" t="s">
        <v>593</v>
      </c>
      <c r="I1520" s="24" t="s">
        <v>809</v>
      </c>
      <c r="J1520" s="14" t="s">
        <v>29</v>
      </c>
      <c r="K1520" s="15" t="s">
        <v>30</v>
      </c>
      <c r="L1520" s="57"/>
      <c r="M1520" s="14"/>
      <c r="N1520" s="14" t="s">
        <v>1806</v>
      </c>
      <c r="O1520" s="14"/>
      <c r="P1520" s="15" t="s">
        <v>1204</v>
      </c>
      <c r="Q1520" s="16">
        <v>14499</v>
      </c>
      <c r="R1520" s="17">
        <v>40</v>
      </c>
      <c r="S1520" s="18">
        <v>10004.31</v>
      </c>
      <c r="T1520" s="19" t="s">
        <v>36</v>
      </c>
      <c r="U1520" s="20" t="s">
        <v>602</v>
      </c>
      <c r="V1520" s="28">
        <v>41.5</v>
      </c>
      <c r="W1520" s="22">
        <v>11</v>
      </c>
      <c r="X1520" s="23"/>
    </row>
    <row r="1521" spans="1:24" s="1" customFormat="1" ht="11.1" customHeight="1" x14ac:dyDescent="0.3">
      <c r="A1521" s="24" t="s">
        <v>23</v>
      </c>
      <c r="B1521" s="24" t="s">
        <v>1799</v>
      </c>
      <c r="C1521" s="12" t="s">
        <v>1805</v>
      </c>
      <c r="D1521" s="54"/>
      <c r="E1521" s="39" t="str">
        <f t="shared" si="40"/>
        <v>Еще фото</v>
      </c>
      <c r="F1521" s="13"/>
      <c r="G1521" s="24" t="s">
        <v>808</v>
      </c>
      <c r="H1521" s="24" t="s">
        <v>593</v>
      </c>
      <c r="I1521" s="24" t="s">
        <v>809</v>
      </c>
      <c r="J1521" s="14" t="s">
        <v>29</v>
      </c>
      <c r="K1521" s="15" t="s">
        <v>30</v>
      </c>
      <c r="L1521" s="57"/>
      <c r="M1521" s="14"/>
      <c r="N1521" s="14" t="s">
        <v>1806</v>
      </c>
      <c r="O1521" s="14"/>
      <c r="P1521" s="15" t="s">
        <v>1204</v>
      </c>
      <c r="Q1521" s="16">
        <v>14499</v>
      </c>
      <c r="R1521" s="17">
        <v>40</v>
      </c>
      <c r="S1521" s="18">
        <v>10004.31</v>
      </c>
      <c r="T1521" s="19" t="s">
        <v>36</v>
      </c>
      <c r="U1521" s="20" t="s">
        <v>603</v>
      </c>
      <c r="V1521" s="22">
        <v>42</v>
      </c>
      <c r="W1521" s="22">
        <v>10</v>
      </c>
      <c r="X1521" s="23"/>
    </row>
    <row r="1522" spans="1:24" s="1" customFormat="1" ht="11.1" customHeight="1" x14ac:dyDescent="0.3">
      <c r="A1522" s="24" t="s">
        <v>23</v>
      </c>
      <c r="B1522" s="24" t="s">
        <v>1799</v>
      </c>
      <c r="C1522" s="12" t="s">
        <v>1805</v>
      </c>
      <c r="D1522" s="54"/>
      <c r="E1522" s="39" t="str">
        <f t="shared" si="40"/>
        <v>Еще фото</v>
      </c>
      <c r="F1522" s="13"/>
      <c r="G1522" s="24" t="s">
        <v>808</v>
      </c>
      <c r="H1522" s="24" t="s">
        <v>593</v>
      </c>
      <c r="I1522" s="24" t="s">
        <v>809</v>
      </c>
      <c r="J1522" s="14" t="s">
        <v>29</v>
      </c>
      <c r="K1522" s="15" t="s">
        <v>30</v>
      </c>
      <c r="L1522" s="57"/>
      <c r="M1522" s="14"/>
      <c r="N1522" s="14" t="s">
        <v>1806</v>
      </c>
      <c r="O1522" s="14"/>
      <c r="P1522" s="15" t="s">
        <v>1204</v>
      </c>
      <c r="Q1522" s="16">
        <v>14499</v>
      </c>
      <c r="R1522" s="17">
        <v>40</v>
      </c>
      <c r="S1522" s="18">
        <v>10004.31</v>
      </c>
      <c r="T1522" s="19" t="s">
        <v>36</v>
      </c>
      <c r="U1522" s="20" t="s">
        <v>604</v>
      </c>
      <c r="V1522" s="22">
        <v>43</v>
      </c>
      <c r="W1522" s="22">
        <v>10</v>
      </c>
      <c r="X1522" s="23"/>
    </row>
    <row r="1523" spans="1:24" s="1" customFormat="1" ht="11.1" customHeight="1" x14ac:dyDescent="0.3">
      <c r="A1523" s="24" t="s">
        <v>23</v>
      </c>
      <c r="B1523" s="24" t="s">
        <v>1799</v>
      </c>
      <c r="C1523" s="12" t="s">
        <v>1805</v>
      </c>
      <c r="D1523" s="54"/>
      <c r="E1523" s="39" t="str">
        <f t="shared" si="40"/>
        <v>Еще фото</v>
      </c>
      <c r="F1523" s="13"/>
      <c r="G1523" s="24" t="s">
        <v>808</v>
      </c>
      <c r="H1523" s="24" t="s">
        <v>593</v>
      </c>
      <c r="I1523" s="24" t="s">
        <v>809</v>
      </c>
      <c r="J1523" s="14" t="s">
        <v>29</v>
      </c>
      <c r="K1523" s="15" t="s">
        <v>30</v>
      </c>
      <c r="L1523" s="57"/>
      <c r="M1523" s="14"/>
      <c r="N1523" s="14" t="s">
        <v>1806</v>
      </c>
      <c r="O1523" s="14"/>
      <c r="P1523" s="15" t="s">
        <v>1204</v>
      </c>
      <c r="Q1523" s="16">
        <v>14499</v>
      </c>
      <c r="R1523" s="17">
        <v>40</v>
      </c>
      <c r="S1523" s="18">
        <v>10004.31</v>
      </c>
      <c r="T1523" s="19" t="s">
        <v>36</v>
      </c>
      <c r="U1523" s="20" t="s">
        <v>605</v>
      </c>
      <c r="V1523" s="28">
        <v>43.5</v>
      </c>
      <c r="W1523" s="22">
        <v>10</v>
      </c>
      <c r="X1523" s="23"/>
    </row>
    <row r="1524" spans="1:24" s="1" customFormat="1" ht="11.1" customHeight="1" x14ac:dyDescent="0.3">
      <c r="A1524" s="24" t="s">
        <v>23</v>
      </c>
      <c r="B1524" s="24" t="s">
        <v>1799</v>
      </c>
      <c r="C1524" s="12" t="s">
        <v>1805</v>
      </c>
      <c r="D1524" s="54"/>
      <c r="E1524" s="39" t="str">
        <f t="shared" si="40"/>
        <v>Еще фото</v>
      </c>
      <c r="F1524" s="13"/>
      <c r="G1524" s="24" t="s">
        <v>808</v>
      </c>
      <c r="H1524" s="24" t="s">
        <v>593</v>
      </c>
      <c r="I1524" s="24" t="s">
        <v>809</v>
      </c>
      <c r="J1524" s="14" t="s">
        <v>29</v>
      </c>
      <c r="K1524" s="15" t="s">
        <v>30</v>
      </c>
      <c r="L1524" s="57"/>
      <c r="M1524" s="14"/>
      <c r="N1524" s="14" t="s">
        <v>1806</v>
      </c>
      <c r="O1524" s="14"/>
      <c r="P1524" s="15" t="s">
        <v>1204</v>
      </c>
      <c r="Q1524" s="16">
        <v>14499</v>
      </c>
      <c r="R1524" s="17">
        <v>40</v>
      </c>
      <c r="S1524" s="18">
        <v>10004.31</v>
      </c>
      <c r="T1524" s="19" t="s">
        <v>36</v>
      </c>
      <c r="U1524" s="20" t="s">
        <v>606</v>
      </c>
      <c r="V1524" s="22">
        <v>44</v>
      </c>
      <c r="W1524" s="22">
        <v>5</v>
      </c>
      <c r="X1524" s="23"/>
    </row>
    <row r="1525" spans="1:24" s="1" customFormat="1" ht="11.1" customHeight="1" x14ac:dyDescent="0.3">
      <c r="A1525" s="24" t="s">
        <v>23</v>
      </c>
      <c r="B1525" s="24" t="s">
        <v>1799</v>
      </c>
      <c r="C1525" s="12" t="s">
        <v>1805</v>
      </c>
      <c r="D1525" s="54"/>
      <c r="E1525" s="39" t="str">
        <f t="shared" si="40"/>
        <v>Еще фото</v>
      </c>
      <c r="F1525" s="13"/>
      <c r="G1525" s="24" t="s">
        <v>808</v>
      </c>
      <c r="H1525" s="24" t="s">
        <v>593</v>
      </c>
      <c r="I1525" s="24" t="s">
        <v>809</v>
      </c>
      <c r="J1525" s="14" t="s">
        <v>29</v>
      </c>
      <c r="K1525" s="15" t="s">
        <v>30</v>
      </c>
      <c r="L1525" s="57"/>
      <c r="M1525" s="14"/>
      <c r="N1525" s="14" t="s">
        <v>1806</v>
      </c>
      <c r="O1525" s="14"/>
      <c r="P1525" s="15" t="s">
        <v>1204</v>
      </c>
      <c r="Q1525" s="16">
        <v>14499</v>
      </c>
      <c r="R1525" s="17">
        <v>40</v>
      </c>
      <c r="S1525" s="18">
        <v>10004.31</v>
      </c>
      <c r="T1525" s="19" t="s">
        <v>36</v>
      </c>
      <c r="U1525" s="20" t="s">
        <v>607</v>
      </c>
      <c r="V1525" s="28">
        <v>44.5</v>
      </c>
      <c r="W1525" s="22">
        <v>6</v>
      </c>
      <c r="X1525" s="23"/>
    </row>
    <row r="1526" spans="1:24" s="1" customFormat="1" ht="11.1" customHeight="1" x14ac:dyDescent="0.3">
      <c r="A1526" s="24" t="s">
        <v>23</v>
      </c>
      <c r="B1526" s="24" t="s">
        <v>1799</v>
      </c>
      <c r="C1526" s="12" t="s">
        <v>1805</v>
      </c>
      <c r="D1526" s="54"/>
      <c r="E1526" s="39" t="str">
        <f t="shared" si="40"/>
        <v>Еще фото</v>
      </c>
      <c r="F1526" s="13"/>
      <c r="G1526" s="24" t="s">
        <v>808</v>
      </c>
      <c r="H1526" s="24" t="s">
        <v>593</v>
      </c>
      <c r="I1526" s="24" t="s">
        <v>809</v>
      </c>
      <c r="J1526" s="14" t="s">
        <v>29</v>
      </c>
      <c r="K1526" s="15" t="s">
        <v>30</v>
      </c>
      <c r="L1526" s="57"/>
      <c r="M1526" s="14"/>
      <c r="N1526" s="14" t="s">
        <v>1806</v>
      </c>
      <c r="O1526" s="14"/>
      <c r="P1526" s="15" t="s">
        <v>1204</v>
      </c>
      <c r="Q1526" s="16">
        <v>14499</v>
      </c>
      <c r="R1526" s="17">
        <v>40</v>
      </c>
      <c r="S1526" s="18">
        <v>10004.31</v>
      </c>
      <c r="T1526" s="19" t="s">
        <v>36</v>
      </c>
      <c r="U1526" s="20" t="s">
        <v>608</v>
      </c>
      <c r="V1526" s="22">
        <v>45</v>
      </c>
      <c r="W1526" s="22">
        <v>5</v>
      </c>
      <c r="X1526" s="23"/>
    </row>
    <row r="1527" spans="1:24" s="1" customFormat="1" ht="11.1" customHeight="1" x14ac:dyDescent="0.3">
      <c r="A1527" s="14" t="s">
        <v>23</v>
      </c>
      <c r="B1527" s="14" t="s">
        <v>1799</v>
      </c>
      <c r="C1527" s="12" t="s">
        <v>1805</v>
      </c>
      <c r="D1527" s="54"/>
      <c r="E1527" s="39" t="str">
        <f t="shared" si="40"/>
        <v>Еще фото</v>
      </c>
      <c r="F1527" s="29"/>
      <c r="G1527" s="14" t="s">
        <v>808</v>
      </c>
      <c r="H1527" s="14" t="s">
        <v>593</v>
      </c>
      <c r="I1527" s="14" t="s">
        <v>809</v>
      </c>
      <c r="J1527" s="14" t="s">
        <v>29</v>
      </c>
      <c r="K1527" s="14" t="s">
        <v>30</v>
      </c>
      <c r="L1527" s="57"/>
      <c r="M1527" s="14"/>
      <c r="N1527" s="14" t="s">
        <v>1806</v>
      </c>
      <c r="O1527" s="14"/>
      <c r="P1527" s="14" t="s">
        <v>1204</v>
      </c>
      <c r="Q1527" s="30">
        <v>14499</v>
      </c>
      <c r="R1527" s="31">
        <v>40</v>
      </c>
      <c r="S1527" s="32">
        <v>10004.31</v>
      </c>
      <c r="T1527" s="19" t="s">
        <v>36</v>
      </c>
      <c r="U1527" s="20" t="s">
        <v>1500</v>
      </c>
      <c r="V1527" s="22">
        <v>46</v>
      </c>
      <c r="W1527" s="22">
        <v>1</v>
      </c>
      <c r="X1527" s="23"/>
    </row>
    <row r="1528" spans="1:24" s="1" customFormat="1" ht="11.1" customHeight="1" x14ac:dyDescent="0.3">
      <c r="A1528" s="14" t="s">
        <v>23</v>
      </c>
      <c r="B1528" s="14" t="s">
        <v>1799</v>
      </c>
      <c r="C1528" s="12" t="s">
        <v>1805</v>
      </c>
      <c r="D1528" s="55"/>
      <c r="E1528" s="39" t="str">
        <f t="shared" si="40"/>
        <v>Еще фото</v>
      </c>
      <c r="F1528" s="29"/>
      <c r="G1528" s="14" t="s">
        <v>808</v>
      </c>
      <c r="H1528" s="14" t="s">
        <v>593</v>
      </c>
      <c r="I1528" s="14" t="s">
        <v>809</v>
      </c>
      <c r="J1528" s="14" t="s">
        <v>29</v>
      </c>
      <c r="K1528" s="14" t="s">
        <v>30</v>
      </c>
      <c r="L1528" s="58"/>
      <c r="M1528" s="14"/>
      <c r="N1528" s="14" t="s">
        <v>1806</v>
      </c>
      <c r="O1528" s="14"/>
      <c r="P1528" s="14" t="s">
        <v>1204</v>
      </c>
      <c r="Q1528" s="30">
        <v>14499</v>
      </c>
      <c r="R1528" s="31">
        <v>40</v>
      </c>
      <c r="S1528" s="32">
        <v>10004.31</v>
      </c>
      <c r="T1528" s="19" t="s">
        <v>36</v>
      </c>
      <c r="U1528" s="20" t="s">
        <v>1807</v>
      </c>
      <c r="V1528" s="28">
        <v>46.5</v>
      </c>
      <c r="W1528" s="22">
        <v>1</v>
      </c>
      <c r="X1528" s="23"/>
    </row>
    <row r="1529" spans="1:24" s="1" customFormat="1" ht="51.95" customHeight="1" x14ac:dyDescent="0.3">
      <c r="A1529" s="11" t="s">
        <v>23</v>
      </c>
      <c r="B1529" s="11" t="s">
        <v>1808</v>
      </c>
      <c r="C1529" s="12" t="s">
        <v>1809</v>
      </c>
      <c r="D1529" s="59"/>
      <c r="E1529" s="39" t="str">
        <f>HYPERLINK("https://www.google.ru/search?q=6009108-100&amp;newwindow=1&amp;tbm=isch","Еще фото")</f>
        <v>Еще фото</v>
      </c>
      <c r="F1529" s="13"/>
      <c r="G1529" s="11" t="s">
        <v>808</v>
      </c>
      <c r="H1529" s="11" t="s">
        <v>593</v>
      </c>
      <c r="I1529" s="14" t="s">
        <v>809</v>
      </c>
      <c r="J1529" s="14" t="s">
        <v>29</v>
      </c>
      <c r="K1529" s="15" t="s">
        <v>64</v>
      </c>
      <c r="L1529" s="56" t="s">
        <v>1801</v>
      </c>
      <c r="M1529" s="14"/>
      <c r="N1529" s="14" t="s">
        <v>74</v>
      </c>
      <c r="O1529" s="14"/>
      <c r="P1529" s="15" t="s">
        <v>1803</v>
      </c>
      <c r="Q1529" s="16">
        <v>14499</v>
      </c>
      <c r="R1529" s="17">
        <v>40</v>
      </c>
      <c r="S1529" s="18">
        <v>10004.31</v>
      </c>
      <c r="T1529" s="19" t="s">
        <v>36</v>
      </c>
      <c r="U1529" s="20" t="s">
        <v>814</v>
      </c>
      <c r="V1529" s="28">
        <v>36.5</v>
      </c>
      <c r="W1529" s="22">
        <v>1</v>
      </c>
      <c r="X1529" s="23"/>
    </row>
    <row r="1530" spans="1:24" s="1" customFormat="1" ht="60.95" customHeight="1" x14ac:dyDescent="0.3">
      <c r="A1530" s="24" t="s">
        <v>23</v>
      </c>
      <c r="B1530" s="24" t="s">
        <v>1808</v>
      </c>
      <c r="C1530" s="12" t="s">
        <v>1809</v>
      </c>
      <c r="D1530" s="60"/>
      <c r="E1530" s="39" t="str">
        <f>HYPERLINK("https://www.google.ru/search?q=6009108-100&amp;newwindow=1&amp;tbm=isch","Еще фото")</f>
        <v>Еще фото</v>
      </c>
      <c r="F1530" s="13"/>
      <c r="G1530" s="24" t="s">
        <v>808</v>
      </c>
      <c r="H1530" s="24" t="s">
        <v>593</v>
      </c>
      <c r="I1530" s="24" t="s">
        <v>809</v>
      </c>
      <c r="J1530" s="14" t="s">
        <v>29</v>
      </c>
      <c r="K1530" s="15" t="s">
        <v>64</v>
      </c>
      <c r="L1530" s="58"/>
      <c r="M1530" s="14"/>
      <c r="N1530" s="14" t="s">
        <v>74</v>
      </c>
      <c r="O1530" s="14"/>
      <c r="P1530" s="15" t="s">
        <v>1803</v>
      </c>
      <c r="Q1530" s="16">
        <v>14499</v>
      </c>
      <c r="R1530" s="17">
        <v>40</v>
      </c>
      <c r="S1530" s="18">
        <v>10004.31</v>
      </c>
      <c r="T1530" s="19" t="s">
        <v>36</v>
      </c>
      <c r="U1530" s="20" t="s">
        <v>598</v>
      </c>
      <c r="V1530" s="22">
        <v>37</v>
      </c>
      <c r="W1530" s="22">
        <v>4</v>
      </c>
      <c r="X1530" s="23"/>
    </row>
    <row r="1531" spans="1:24" s="1" customFormat="1" ht="14.1" customHeight="1" x14ac:dyDescent="0.3">
      <c r="A1531" s="11" t="s">
        <v>23</v>
      </c>
      <c r="B1531" s="11" t="s">
        <v>1808</v>
      </c>
      <c r="C1531" s="12" t="s">
        <v>1810</v>
      </c>
      <c r="D1531" s="53"/>
      <c r="E1531" s="39" t="str">
        <f t="shared" ref="E1531:E1537" si="41">HYPERLINK("https://www.google.ru/search?q=6009108-703&amp;newwindow=1&amp;tbm=isch","Еще фото")</f>
        <v>Еще фото</v>
      </c>
      <c r="F1531" s="13"/>
      <c r="G1531" s="11" t="s">
        <v>808</v>
      </c>
      <c r="H1531" s="11" t="s">
        <v>593</v>
      </c>
      <c r="I1531" s="14" t="s">
        <v>809</v>
      </c>
      <c r="J1531" s="14" t="s">
        <v>29</v>
      </c>
      <c r="K1531" s="15" t="s">
        <v>64</v>
      </c>
      <c r="L1531" s="56"/>
      <c r="M1531" s="14"/>
      <c r="N1531" s="14" t="s">
        <v>1806</v>
      </c>
      <c r="O1531" s="14"/>
      <c r="P1531" s="15" t="s">
        <v>1204</v>
      </c>
      <c r="Q1531" s="16">
        <v>14499</v>
      </c>
      <c r="R1531" s="17">
        <v>40</v>
      </c>
      <c r="S1531" s="18">
        <v>10004.31</v>
      </c>
      <c r="T1531" s="19" t="s">
        <v>36</v>
      </c>
      <c r="U1531" s="20" t="s">
        <v>820</v>
      </c>
      <c r="V1531" s="22">
        <v>36</v>
      </c>
      <c r="W1531" s="22">
        <v>4</v>
      </c>
      <c r="X1531" s="23"/>
    </row>
    <row r="1532" spans="1:24" s="1" customFormat="1" ht="14.1" customHeight="1" x14ac:dyDescent="0.3">
      <c r="A1532" s="24" t="s">
        <v>23</v>
      </c>
      <c r="B1532" s="24" t="s">
        <v>1808</v>
      </c>
      <c r="C1532" s="12" t="s">
        <v>1810</v>
      </c>
      <c r="D1532" s="54"/>
      <c r="E1532" s="39" t="str">
        <f t="shared" si="41"/>
        <v>Еще фото</v>
      </c>
      <c r="F1532" s="13"/>
      <c r="G1532" s="24" t="s">
        <v>808</v>
      </c>
      <c r="H1532" s="24" t="s">
        <v>593</v>
      </c>
      <c r="I1532" s="24" t="s">
        <v>809</v>
      </c>
      <c r="J1532" s="14" t="s">
        <v>29</v>
      </c>
      <c r="K1532" s="15" t="s">
        <v>64</v>
      </c>
      <c r="L1532" s="57"/>
      <c r="M1532" s="14"/>
      <c r="N1532" s="14" t="s">
        <v>1806</v>
      </c>
      <c r="O1532" s="14"/>
      <c r="P1532" s="15" t="s">
        <v>1204</v>
      </c>
      <c r="Q1532" s="16">
        <v>14499</v>
      </c>
      <c r="R1532" s="17">
        <v>40</v>
      </c>
      <c r="S1532" s="18">
        <v>10004.31</v>
      </c>
      <c r="T1532" s="19" t="s">
        <v>36</v>
      </c>
      <c r="U1532" s="20" t="s">
        <v>814</v>
      </c>
      <c r="V1532" s="28">
        <v>36.5</v>
      </c>
      <c r="W1532" s="22">
        <v>9</v>
      </c>
      <c r="X1532" s="23"/>
    </row>
    <row r="1533" spans="1:24" s="1" customFormat="1" ht="14.1" customHeight="1" x14ac:dyDescent="0.3">
      <c r="A1533" s="24" t="s">
        <v>23</v>
      </c>
      <c r="B1533" s="24" t="s">
        <v>1808</v>
      </c>
      <c r="C1533" s="12" t="s">
        <v>1810</v>
      </c>
      <c r="D1533" s="54"/>
      <c r="E1533" s="39" t="str">
        <f t="shared" si="41"/>
        <v>Еще фото</v>
      </c>
      <c r="F1533" s="13"/>
      <c r="G1533" s="24" t="s">
        <v>808</v>
      </c>
      <c r="H1533" s="24" t="s">
        <v>593</v>
      </c>
      <c r="I1533" s="24" t="s">
        <v>809</v>
      </c>
      <c r="J1533" s="14" t="s">
        <v>29</v>
      </c>
      <c r="K1533" s="15" t="s">
        <v>64</v>
      </c>
      <c r="L1533" s="57"/>
      <c r="M1533" s="14"/>
      <c r="N1533" s="14" t="s">
        <v>1806</v>
      </c>
      <c r="O1533" s="14"/>
      <c r="P1533" s="15" t="s">
        <v>1204</v>
      </c>
      <c r="Q1533" s="16">
        <v>14499</v>
      </c>
      <c r="R1533" s="17">
        <v>40</v>
      </c>
      <c r="S1533" s="18">
        <v>10004.31</v>
      </c>
      <c r="T1533" s="19" t="s">
        <v>36</v>
      </c>
      <c r="U1533" s="20" t="s">
        <v>598</v>
      </c>
      <c r="V1533" s="22">
        <v>37</v>
      </c>
      <c r="W1533" s="22">
        <v>17</v>
      </c>
      <c r="X1533" s="23"/>
    </row>
    <row r="1534" spans="1:24" s="1" customFormat="1" ht="14.1" customHeight="1" x14ac:dyDescent="0.3">
      <c r="A1534" s="24" t="s">
        <v>23</v>
      </c>
      <c r="B1534" s="24" t="s">
        <v>1808</v>
      </c>
      <c r="C1534" s="12" t="s">
        <v>1810</v>
      </c>
      <c r="D1534" s="54"/>
      <c r="E1534" s="39" t="str">
        <f t="shared" si="41"/>
        <v>Еще фото</v>
      </c>
      <c r="F1534" s="13"/>
      <c r="G1534" s="24" t="s">
        <v>808</v>
      </c>
      <c r="H1534" s="24" t="s">
        <v>593</v>
      </c>
      <c r="I1534" s="24" t="s">
        <v>809</v>
      </c>
      <c r="J1534" s="14" t="s">
        <v>29</v>
      </c>
      <c r="K1534" s="15" t="s">
        <v>64</v>
      </c>
      <c r="L1534" s="57"/>
      <c r="M1534" s="14"/>
      <c r="N1534" s="14" t="s">
        <v>1806</v>
      </c>
      <c r="O1534" s="14"/>
      <c r="P1534" s="15" t="s">
        <v>1204</v>
      </c>
      <c r="Q1534" s="16">
        <v>14499</v>
      </c>
      <c r="R1534" s="17">
        <v>40</v>
      </c>
      <c r="S1534" s="18">
        <v>10004.31</v>
      </c>
      <c r="T1534" s="19" t="s">
        <v>36</v>
      </c>
      <c r="U1534" s="20" t="s">
        <v>599</v>
      </c>
      <c r="V1534" s="28">
        <v>37.5</v>
      </c>
      <c r="W1534" s="22">
        <v>13</v>
      </c>
      <c r="X1534" s="23"/>
    </row>
    <row r="1535" spans="1:24" s="1" customFormat="1" ht="14.1" customHeight="1" x14ac:dyDescent="0.3">
      <c r="A1535" s="24" t="s">
        <v>23</v>
      </c>
      <c r="B1535" s="24" t="s">
        <v>1808</v>
      </c>
      <c r="C1535" s="12" t="s">
        <v>1810</v>
      </c>
      <c r="D1535" s="54"/>
      <c r="E1535" s="39" t="str">
        <f t="shared" si="41"/>
        <v>Еще фото</v>
      </c>
      <c r="F1535" s="13"/>
      <c r="G1535" s="24" t="s">
        <v>808</v>
      </c>
      <c r="H1535" s="24" t="s">
        <v>593</v>
      </c>
      <c r="I1535" s="24" t="s">
        <v>809</v>
      </c>
      <c r="J1535" s="14" t="s">
        <v>29</v>
      </c>
      <c r="K1535" s="15" t="s">
        <v>64</v>
      </c>
      <c r="L1535" s="57"/>
      <c r="M1535" s="14"/>
      <c r="N1535" s="14" t="s">
        <v>1806</v>
      </c>
      <c r="O1535" s="14"/>
      <c r="P1535" s="15" t="s">
        <v>1204</v>
      </c>
      <c r="Q1535" s="16">
        <v>14499</v>
      </c>
      <c r="R1535" s="17">
        <v>40</v>
      </c>
      <c r="S1535" s="18">
        <v>10004.31</v>
      </c>
      <c r="T1535" s="19" t="s">
        <v>36</v>
      </c>
      <c r="U1535" s="20" t="s">
        <v>600</v>
      </c>
      <c r="V1535" s="22">
        <v>38</v>
      </c>
      <c r="W1535" s="22">
        <v>13</v>
      </c>
      <c r="X1535" s="23"/>
    </row>
    <row r="1536" spans="1:24" s="1" customFormat="1" ht="14.1" customHeight="1" x14ac:dyDescent="0.3">
      <c r="A1536" s="24" t="s">
        <v>23</v>
      </c>
      <c r="B1536" s="24" t="s">
        <v>1808</v>
      </c>
      <c r="C1536" s="12" t="s">
        <v>1810</v>
      </c>
      <c r="D1536" s="54"/>
      <c r="E1536" s="39" t="str">
        <f t="shared" si="41"/>
        <v>Еще фото</v>
      </c>
      <c r="F1536" s="13"/>
      <c r="G1536" s="24" t="s">
        <v>808</v>
      </c>
      <c r="H1536" s="24" t="s">
        <v>593</v>
      </c>
      <c r="I1536" s="24" t="s">
        <v>809</v>
      </c>
      <c r="J1536" s="14" t="s">
        <v>29</v>
      </c>
      <c r="K1536" s="15" t="s">
        <v>64</v>
      </c>
      <c r="L1536" s="57"/>
      <c r="M1536" s="14"/>
      <c r="N1536" s="14" t="s">
        <v>1806</v>
      </c>
      <c r="O1536" s="14"/>
      <c r="P1536" s="15" t="s">
        <v>1204</v>
      </c>
      <c r="Q1536" s="16">
        <v>14499</v>
      </c>
      <c r="R1536" s="17">
        <v>40</v>
      </c>
      <c r="S1536" s="18">
        <v>10004.31</v>
      </c>
      <c r="T1536" s="19" t="s">
        <v>36</v>
      </c>
      <c r="U1536" s="20" t="s">
        <v>601</v>
      </c>
      <c r="V1536" s="22">
        <v>39</v>
      </c>
      <c r="W1536" s="22">
        <v>9</v>
      </c>
      <c r="X1536" s="23"/>
    </row>
    <row r="1537" spans="1:24" s="1" customFormat="1" ht="17.100000000000001" customHeight="1" x14ac:dyDescent="0.3">
      <c r="A1537" s="24" t="s">
        <v>23</v>
      </c>
      <c r="B1537" s="24" t="s">
        <v>1808</v>
      </c>
      <c r="C1537" s="12" t="s">
        <v>1810</v>
      </c>
      <c r="D1537" s="55"/>
      <c r="E1537" s="39" t="str">
        <f t="shared" si="41"/>
        <v>Еще фото</v>
      </c>
      <c r="F1537" s="13"/>
      <c r="G1537" s="24" t="s">
        <v>808</v>
      </c>
      <c r="H1537" s="24" t="s">
        <v>593</v>
      </c>
      <c r="I1537" s="24" t="s">
        <v>809</v>
      </c>
      <c r="J1537" s="14" t="s">
        <v>29</v>
      </c>
      <c r="K1537" s="15" t="s">
        <v>64</v>
      </c>
      <c r="L1537" s="58"/>
      <c r="M1537" s="14"/>
      <c r="N1537" s="14" t="s">
        <v>1806</v>
      </c>
      <c r="O1537" s="14"/>
      <c r="P1537" s="15" t="s">
        <v>1204</v>
      </c>
      <c r="Q1537" s="16">
        <v>14499</v>
      </c>
      <c r="R1537" s="17">
        <v>40</v>
      </c>
      <c r="S1537" s="18">
        <v>10004.31</v>
      </c>
      <c r="T1537" s="19" t="s">
        <v>36</v>
      </c>
      <c r="U1537" s="20" t="s">
        <v>602</v>
      </c>
      <c r="V1537" s="28">
        <v>39.5</v>
      </c>
      <c r="W1537" s="22">
        <v>3</v>
      </c>
      <c r="X1537" s="23"/>
    </row>
    <row r="1538" spans="1:24" s="1" customFormat="1" ht="51.95" customHeight="1" x14ac:dyDescent="0.3">
      <c r="A1538" s="11" t="s">
        <v>23</v>
      </c>
      <c r="B1538" s="11" t="s">
        <v>1811</v>
      </c>
      <c r="C1538" s="12" t="s">
        <v>1812</v>
      </c>
      <c r="D1538" s="59"/>
      <c r="E1538" s="39" t="str">
        <f>HYPERLINK("https://www.google.ru/search?q=1378755-001&amp;newwindow=1&amp;tbm=isch","Еще фото")</f>
        <v>Еще фото</v>
      </c>
      <c r="F1538" s="13"/>
      <c r="G1538" s="11" t="s">
        <v>1813</v>
      </c>
      <c r="H1538" s="11" t="s">
        <v>576</v>
      </c>
      <c r="I1538" s="14" t="s">
        <v>1813</v>
      </c>
      <c r="J1538" s="14" t="s">
        <v>29</v>
      </c>
      <c r="K1538" s="15" t="s">
        <v>30</v>
      </c>
      <c r="L1538" s="56" t="s">
        <v>1814</v>
      </c>
      <c r="M1538" s="14"/>
      <c r="N1538" s="14" t="s">
        <v>33</v>
      </c>
      <c r="O1538" s="14"/>
      <c r="P1538" s="15" t="s">
        <v>1815</v>
      </c>
      <c r="Q1538" s="16">
        <v>6199</v>
      </c>
      <c r="R1538" s="17">
        <v>48.74</v>
      </c>
      <c r="S1538" s="18">
        <v>3654.4354999999996</v>
      </c>
      <c r="T1538" s="19" t="s">
        <v>36</v>
      </c>
      <c r="U1538" s="20" t="s">
        <v>588</v>
      </c>
      <c r="V1538" s="21" t="s">
        <v>1816</v>
      </c>
      <c r="W1538" s="22">
        <v>9</v>
      </c>
      <c r="X1538" s="23"/>
    </row>
    <row r="1539" spans="1:24" s="1" customFormat="1" ht="60.95" customHeight="1" x14ac:dyDescent="0.3">
      <c r="A1539" s="24" t="s">
        <v>23</v>
      </c>
      <c r="B1539" s="24" t="s">
        <v>1811</v>
      </c>
      <c r="C1539" s="12" t="s">
        <v>1812</v>
      </c>
      <c r="D1539" s="60"/>
      <c r="E1539" s="39" t="str">
        <f>HYPERLINK("https://www.google.ru/search?q=1378755-001&amp;newwindow=1&amp;tbm=isch","Еще фото")</f>
        <v>Еще фото</v>
      </c>
      <c r="F1539" s="13"/>
      <c r="G1539" s="24" t="s">
        <v>1813</v>
      </c>
      <c r="H1539" s="24" t="s">
        <v>576</v>
      </c>
      <c r="I1539" s="24" t="s">
        <v>1813</v>
      </c>
      <c r="J1539" s="14" t="s">
        <v>29</v>
      </c>
      <c r="K1539" s="15" t="s">
        <v>30</v>
      </c>
      <c r="L1539" s="58"/>
      <c r="M1539" s="14"/>
      <c r="N1539" s="14" t="s">
        <v>33</v>
      </c>
      <c r="O1539" s="14"/>
      <c r="P1539" s="15" t="s">
        <v>1815</v>
      </c>
      <c r="Q1539" s="16">
        <v>6199</v>
      </c>
      <c r="R1539" s="17">
        <v>48.74</v>
      </c>
      <c r="S1539" s="18">
        <v>3654.4354999999996</v>
      </c>
      <c r="T1539" s="19" t="s">
        <v>36</v>
      </c>
      <c r="U1539" s="20" t="s">
        <v>1817</v>
      </c>
      <c r="V1539" s="21" t="s">
        <v>1818</v>
      </c>
      <c r="W1539" s="22">
        <v>4</v>
      </c>
      <c r="X1539" s="23"/>
    </row>
    <row r="1540" spans="1:24" s="1" customFormat="1" ht="35.1" customHeight="1" x14ac:dyDescent="0.3">
      <c r="A1540" s="11" t="s">
        <v>23</v>
      </c>
      <c r="B1540" s="11" t="s">
        <v>1819</v>
      </c>
      <c r="C1540" s="12" t="s">
        <v>1820</v>
      </c>
      <c r="D1540" s="53"/>
      <c r="E1540" s="39" t="str">
        <f>HYPERLINK("https://www.google.ru/search?q=1373096-002&amp;newwindow=1&amp;tbm=isch","Еще фото")</f>
        <v>Еще фото</v>
      </c>
      <c r="F1540" s="13" t="s">
        <v>98</v>
      </c>
      <c r="G1540" s="11" t="s">
        <v>1813</v>
      </c>
      <c r="H1540" s="11" t="s">
        <v>576</v>
      </c>
      <c r="I1540" s="14" t="s">
        <v>1813</v>
      </c>
      <c r="J1540" s="14" t="s">
        <v>29</v>
      </c>
      <c r="K1540" s="15" t="s">
        <v>30</v>
      </c>
      <c r="L1540" s="56" t="s">
        <v>1821</v>
      </c>
      <c r="M1540" s="14" t="s">
        <v>32</v>
      </c>
      <c r="N1540" s="14" t="s">
        <v>33</v>
      </c>
      <c r="O1540" s="14"/>
      <c r="P1540" s="15" t="s">
        <v>1822</v>
      </c>
      <c r="Q1540" s="16">
        <v>5899</v>
      </c>
      <c r="R1540" s="17">
        <v>40</v>
      </c>
      <c r="S1540" s="18">
        <v>4070.31</v>
      </c>
      <c r="T1540" s="19" t="s">
        <v>36</v>
      </c>
      <c r="U1540" s="20" t="s">
        <v>37</v>
      </c>
      <c r="V1540" s="21" t="s">
        <v>1823</v>
      </c>
      <c r="W1540" s="22">
        <v>1</v>
      </c>
      <c r="X1540" s="23"/>
    </row>
    <row r="1541" spans="1:24" s="1" customFormat="1" ht="35.1" customHeight="1" x14ac:dyDescent="0.3">
      <c r="A1541" s="24" t="s">
        <v>23</v>
      </c>
      <c r="B1541" s="24" t="s">
        <v>1819</v>
      </c>
      <c r="C1541" s="12" t="s">
        <v>1820</v>
      </c>
      <c r="D1541" s="54"/>
      <c r="E1541" s="39" t="str">
        <f>HYPERLINK("https://www.google.ru/search?q=1373096-002&amp;newwindow=1&amp;tbm=isch","Еще фото")</f>
        <v>Еще фото</v>
      </c>
      <c r="F1541" s="13" t="s">
        <v>98</v>
      </c>
      <c r="G1541" s="24" t="s">
        <v>1813</v>
      </c>
      <c r="H1541" s="24" t="s">
        <v>576</v>
      </c>
      <c r="I1541" s="24" t="s">
        <v>1813</v>
      </c>
      <c r="J1541" s="14" t="s">
        <v>29</v>
      </c>
      <c r="K1541" s="15" t="s">
        <v>30</v>
      </c>
      <c r="L1541" s="57"/>
      <c r="M1541" s="14" t="s">
        <v>32</v>
      </c>
      <c r="N1541" s="14" t="s">
        <v>33</v>
      </c>
      <c r="O1541" s="14"/>
      <c r="P1541" s="15" t="s">
        <v>1822</v>
      </c>
      <c r="Q1541" s="16">
        <v>5899</v>
      </c>
      <c r="R1541" s="17">
        <v>40</v>
      </c>
      <c r="S1541" s="18">
        <v>4070.31</v>
      </c>
      <c r="T1541" s="19" t="s">
        <v>36</v>
      </c>
      <c r="U1541" s="20" t="s">
        <v>39</v>
      </c>
      <c r="V1541" s="21" t="s">
        <v>1824</v>
      </c>
      <c r="W1541" s="22">
        <v>2</v>
      </c>
      <c r="X1541" s="23"/>
    </row>
    <row r="1542" spans="1:24" s="1" customFormat="1" ht="36.950000000000003" customHeight="1" x14ac:dyDescent="0.3">
      <c r="A1542" s="24" t="s">
        <v>23</v>
      </c>
      <c r="B1542" s="24" t="s">
        <v>1819</v>
      </c>
      <c r="C1542" s="12" t="s">
        <v>1820</v>
      </c>
      <c r="D1542" s="55"/>
      <c r="E1542" s="39" t="str">
        <f>HYPERLINK("https://www.google.ru/search?q=1373096-002&amp;newwindow=1&amp;tbm=isch","Еще фото")</f>
        <v>Еще фото</v>
      </c>
      <c r="F1542" s="13" t="s">
        <v>98</v>
      </c>
      <c r="G1542" s="24" t="s">
        <v>1813</v>
      </c>
      <c r="H1542" s="24" t="s">
        <v>576</v>
      </c>
      <c r="I1542" s="24" t="s">
        <v>1813</v>
      </c>
      <c r="J1542" s="14" t="s">
        <v>29</v>
      </c>
      <c r="K1542" s="15" t="s">
        <v>30</v>
      </c>
      <c r="L1542" s="58"/>
      <c r="M1542" s="14" t="s">
        <v>32</v>
      </c>
      <c r="N1542" s="14" t="s">
        <v>33</v>
      </c>
      <c r="O1542" s="14"/>
      <c r="P1542" s="15" t="s">
        <v>1822</v>
      </c>
      <c r="Q1542" s="16">
        <v>5899</v>
      </c>
      <c r="R1542" s="17">
        <v>40</v>
      </c>
      <c r="S1542" s="18">
        <v>4070.31</v>
      </c>
      <c r="T1542" s="19" t="s">
        <v>36</v>
      </c>
      <c r="U1542" s="20" t="s">
        <v>41</v>
      </c>
      <c r="V1542" s="21" t="s">
        <v>1825</v>
      </c>
      <c r="W1542" s="22">
        <v>9</v>
      </c>
      <c r="X1542" s="23"/>
    </row>
    <row r="1543" spans="1:24" s="1" customFormat="1" ht="51.95" customHeight="1" x14ac:dyDescent="0.3">
      <c r="A1543" s="11" t="s">
        <v>23</v>
      </c>
      <c r="B1543" s="11" t="s">
        <v>1826</v>
      </c>
      <c r="C1543" s="12" t="s">
        <v>1827</v>
      </c>
      <c r="D1543" s="59"/>
      <c r="E1543" s="39" t="str">
        <f>HYPERLINK("https://www.google.ru/search?q=1373157-003&amp;newwindow=1&amp;tbm=isch","Еще фото")</f>
        <v>Еще фото</v>
      </c>
      <c r="F1543" s="13" t="s">
        <v>98</v>
      </c>
      <c r="G1543" s="11" t="s">
        <v>1813</v>
      </c>
      <c r="H1543" s="11" t="s">
        <v>576</v>
      </c>
      <c r="I1543" s="14" t="s">
        <v>1813</v>
      </c>
      <c r="J1543" s="14" t="s">
        <v>47</v>
      </c>
      <c r="K1543" s="15" t="s">
        <v>30</v>
      </c>
      <c r="L1543" s="56" t="s">
        <v>1828</v>
      </c>
      <c r="M1543" s="14"/>
      <c r="N1543" s="14" t="s">
        <v>33</v>
      </c>
      <c r="O1543" s="14"/>
      <c r="P1543" s="15" t="s">
        <v>1829</v>
      </c>
      <c r="Q1543" s="16">
        <v>2599</v>
      </c>
      <c r="R1543" s="17">
        <v>40</v>
      </c>
      <c r="S1543" s="18">
        <v>1793.31</v>
      </c>
      <c r="T1543" s="19" t="s">
        <v>36</v>
      </c>
      <c r="U1543" s="20" t="s">
        <v>588</v>
      </c>
      <c r="V1543" s="21" t="s">
        <v>1816</v>
      </c>
      <c r="W1543" s="22">
        <v>13</v>
      </c>
      <c r="X1543" s="23"/>
    </row>
    <row r="1544" spans="1:24" s="1" customFormat="1" ht="60.95" customHeight="1" x14ac:dyDescent="0.3">
      <c r="A1544" s="24" t="s">
        <v>23</v>
      </c>
      <c r="B1544" s="24" t="s">
        <v>1826</v>
      </c>
      <c r="C1544" s="12" t="s">
        <v>1827</v>
      </c>
      <c r="D1544" s="60"/>
      <c r="E1544" s="39" t="str">
        <f>HYPERLINK("https://www.google.ru/search?q=1373157-003&amp;newwindow=1&amp;tbm=isch","Еще фото")</f>
        <v>Еще фото</v>
      </c>
      <c r="F1544" s="13" t="s">
        <v>98</v>
      </c>
      <c r="G1544" s="24" t="s">
        <v>1813</v>
      </c>
      <c r="H1544" s="24" t="s">
        <v>576</v>
      </c>
      <c r="I1544" s="24" t="s">
        <v>1813</v>
      </c>
      <c r="J1544" s="14" t="s">
        <v>47</v>
      </c>
      <c r="K1544" s="15" t="s">
        <v>30</v>
      </c>
      <c r="L1544" s="58"/>
      <c r="M1544" s="14"/>
      <c r="N1544" s="14" t="s">
        <v>33</v>
      </c>
      <c r="O1544" s="14"/>
      <c r="P1544" s="15" t="s">
        <v>1829</v>
      </c>
      <c r="Q1544" s="16">
        <v>2599</v>
      </c>
      <c r="R1544" s="17">
        <v>40</v>
      </c>
      <c r="S1544" s="18">
        <v>1793.31</v>
      </c>
      <c r="T1544" s="19" t="s">
        <v>36</v>
      </c>
      <c r="U1544" s="20" t="s">
        <v>1817</v>
      </c>
      <c r="V1544" s="21" t="s">
        <v>1818</v>
      </c>
      <c r="W1544" s="22">
        <v>3</v>
      </c>
      <c r="X1544" s="23"/>
    </row>
    <row r="1545" spans="1:24" s="1" customFormat="1" ht="51.95" customHeight="1" x14ac:dyDescent="0.3">
      <c r="A1545" s="11" t="s">
        <v>23</v>
      </c>
      <c r="B1545" s="11" t="s">
        <v>1826</v>
      </c>
      <c r="C1545" s="12" t="s">
        <v>1830</v>
      </c>
      <c r="D1545" s="59"/>
      <c r="E1545" s="39" t="str">
        <f>HYPERLINK("https://www.google.ru/search?q=1373157-013&amp;newwindow=1&amp;tbm=isch","Еще фото")</f>
        <v>Еще фото</v>
      </c>
      <c r="F1545" s="13"/>
      <c r="G1545" s="11" t="s">
        <v>1813</v>
      </c>
      <c r="H1545" s="11" t="s">
        <v>576</v>
      </c>
      <c r="I1545" s="14" t="s">
        <v>1813</v>
      </c>
      <c r="J1545" s="14" t="s">
        <v>47</v>
      </c>
      <c r="K1545" s="15" t="s">
        <v>30</v>
      </c>
      <c r="L1545" s="56" t="s">
        <v>1828</v>
      </c>
      <c r="M1545" s="14"/>
      <c r="N1545" s="14" t="s">
        <v>84</v>
      </c>
      <c r="O1545" s="14"/>
      <c r="P1545" s="15" t="s">
        <v>1829</v>
      </c>
      <c r="Q1545" s="16">
        <v>2699</v>
      </c>
      <c r="R1545" s="17">
        <v>40</v>
      </c>
      <c r="S1545" s="18">
        <v>1862.31</v>
      </c>
      <c r="T1545" s="19" t="s">
        <v>36</v>
      </c>
      <c r="U1545" s="20" t="s">
        <v>588</v>
      </c>
      <c r="V1545" s="21" t="s">
        <v>1816</v>
      </c>
      <c r="W1545" s="22">
        <v>6</v>
      </c>
      <c r="X1545" s="23"/>
    </row>
    <row r="1546" spans="1:24" s="1" customFormat="1" ht="60.95" customHeight="1" x14ac:dyDescent="0.3">
      <c r="A1546" s="24" t="s">
        <v>23</v>
      </c>
      <c r="B1546" s="24" t="s">
        <v>1826</v>
      </c>
      <c r="C1546" s="12" t="s">
        <v>1830</v>
      </c>
      <c r="D1546" s="60"/>
      <c r="E1546" s="39" t="str">
        <f>HYPERLINK("https://www.google.ru/search?q=1373157-013&amp;newwindow=1&amp;tbm=isch","Еще фото")</f>
        <v>Еще фото</v>
      </c>
      <c r="F1546" s="13"/>
      <c r="G1546" s="24" t="s">
        <v>1813</v>
      </c>
      <c r="H1546" s="24" t="s">
        <v>576</v>
      </c>
      <c r="I1546" s="24" t="s">
        <v>1813</v>
      </c>
      <c r="J1546" s="14" t="s">
        <v>47</v>
      </c>
      <c r="K1546" s="15" t="s">
        <v>30</v>
      </c>
      <c r="L1546" s="58"/>
      <c r="M1546" s="14"/>
      <c r="N1546" s="14" t="s">
        <v>84</v>
      </c>
      <c r="O1546" s="14"/>
      <c r="P1546" s="15" t="s">
        <v>1829</v>
      </c>
      <c r="Q1546" s="16">
        <v>2699</v>
      </c>
      <c r="R1546" s="17">
        <v>40</v>
      </c>
      <c r="S1546" s="18">
        <v>1862.31</v>
      </c>
      <c r="T1546" s="19" t="s">
        <v>36</v>
      </c>
      <c r="U1546" s="20" t="s">
        <v>1817</v>
      </c>
      <c r="V1546" s="21" t="s">
        <v>1818</v>
      </c>
      <c r="W1546" s="22">
        <v>3</v>
      </c>
      <c r="X1546" s="23"/>
    </row>
    <row r="1547" spans="1:24" s="1" customFormat="1" ht="26.1" customHeight="1" x14ac:dyDescent="0.3">
      <c r="A1547" s="11" t="s">
        <v>23</v>
      </c>
      <c r="B1547" s="11" t="s">
        <v>1831</v>
      </c>
      <c r="C1547" s="12" t="s">
        <v>1832</v>
      </c>
      <c r="D1547" s="53"/>
      <c r="E1547" s="39" t="str">
        <f>HYPERLINK("https://www.google.ru/search?q=3028424-102&amp;newwindow=1&amp;tbm=isch","Еще фото")</f>
        <v>Еще фото</v>
      </c>
      <c r="F1547" s="13" t="s">
        <v>98</v>
      </c>
      <c r="G1547" s="11" t="s">
        <v>808</v>
      </c>
      <c r="H1547" s="11" t="s">
        <v>593</v>
      </c>
      <c r="I1547" s="14" t="s">
        <v>1833</v>
      </c>
      <c r="J1547" s="14" t="s">
        <v>47</v>
      </c>
      <c r="K1547" s="15" t="s">
        <v>30</v>
      </c>
      <c r="L1547" s="56" t="s">
        <v>1834</v>
      </c>
      <c r="M1547" s="14"/>
      <c r="N1547" s="14" t="s">
        <v>74</v>
      </c>
      <c r="O1547" s="14"/>
      <c r="P1547" s="15" t="s">
        <v>1835</v>
      </c>
      <c r="Q1547" s="16">
        <v>14699</v>
      </c>
      <c r="R1547" s="17">
        <v>64.3</v>
      </c>
      <c r="S1547" s="18">
        <v>6034.9354999999996</v>
      </c>
      <c r="T1547" s="19" t="s">
        <v>36</v>
      </c>
      <c r="U1547" s="20" t="s">
        <v>601</v>
      </c>
      <c r="V1547" s="22">
        <v>41</v>
      </c>
      <c r="W1547" s="22">
        <v>7</v>
      </c>
      <c r="X1547" s="23"/>
    </row>
    <row r="1548" spans="1:24" s="1" customFormat="1" ht="26.1" customHeight="1" x14ac:dyDescent="0.3">
      <c r="A1548" s="24" t="s">
        <v>23</v>
      </c>
      <c r="B1548" s="24" t="s">
        <v>1831</v>
      </c>
      <c r="C1548" s="12" t="s">
        <v>1832</v>
      </c>
      <c r="D1548" s="54"/>
      <c r="E1548" s="39" t="str">
        <f>HYPERLINK("https://www.google.ru/search?q=3028424-102&amp;newwindow=1&amp;tbm=isch","Еще фото")</f>
        <v>Еще фото</v>
      </c>
      <c r="F1548" s="13" t="s">
        <v>98</v>
      </c>
      <c r="G1548" s="24" t="s">
        <v>808</v>
      </c>
      <c r="H1548" s="24" t="s">
        <v>593</v>
      </c>
      <c r="I1548" s="24" t="s">
        <v>1833</v>
      </c>
      <c r="J1548" s="14" t="s">
        <v>47</v>
      </c>
      <c r="K1548" s="15" t="s">
        <v>30</v>
      </c>
      <c r="L1548" s="57"/>
      <c r="M1548" s="14"/>
      <c r="N1548" s="14" t="s">
        <v>74</v>
      </c>
      <c r="O1548" s="14"/>
      <c r="P1548" s="15" t="s">
        <v>1835</v>
      </c>
      <c r="Q1548" s="16">
        <v>14699</v>
      </c>
      <c r="R1548" s="17">
        <v>64.3</v>
      </c>
      <c r="S1548" s="18">
        <v>6034.9354999999996</v>
      </c>
      <c r="T1548" s="19" t="s">
        <v>36</v>
      </c>
      <c r="U1548" s="20" t="s">
        <v>602</v>
      </c>
      <c r="V1548" s="28">
        <v>41.5</v>
      </c>
      <c r="W1548" s="22">
        <v>8</v>
      </c>
      <c r="X1548" s="23"/>
    </row>
    <row r="1549" spans="1:24" s="1" customFormat="1" ht="26.1" customHeight="1" x14ac:dyDescent="0.3">
      <c r="A1549" s="24" t="s">
        <v>23</v>
      </c>
      <c r="B1549" s="24" t="s">
        <v>1831</v>
      </c>
      <c r="C1549" s="12" t="s">
        <v>1832</v>
      </c>
      <c r="D1549" s="54"/>
      <c r="E1549" s="39" t="str">
        <f>HYPERLINK("https://www.google.ru/search?q=3028424-102&amp;newwindow=1&amp;tbm=isch","Еще фото")</f>
        <v>Еще фото</v>
      </c>
      <c r="F1549" s="13" t="s">
        <v>98</v>
      </c>
      <c r="G1549" s="24" t="s">
        <v>808</v>
      </c>
      <c r="H1549" s="24" t="s">
        <v>593</v>
      </c>
      <c r="I1549" s="24" t="s">
        <v>1833</v>
      </c>
      <c r="J1549" s="14" t="s">
        <v>47</v>
      </c>
      <c r="K1549" s="15" t="s">
        <v>30</v>
      </c>
      <c r="L1549" s="57"/>
      <c r="M1549" s="14"/>
      <c r="N1549" s="14" t="s">
        <v>74</v>
      </c>
      <c r="O1549" s="14"/>
      <c r="P1549" s="15" t="s">
        <v>1835</v>
      </c>
      <c r="Q1549" s="16">
        <v>14699</v>
      </c>
      <c r="R1549" s="17">
        <v>64.3</v>
      </c>
      <c r="S1549" s="18">
        <v>6034.9354999999996</v>
      </c>
      <c r="T1549" s="19" t="s">
        <v>36</v>
      </c>
      <c r="U1549" s="20" t="s">
        <v>603</v>
      </c>
      <c r="V1549" s="22">
        <v>42</v>
      </c>
      <c r="W1549" s="22">
        <v>2</v>
      </c>
      <c r="X1549" s="23"/>
    </row>
    <row r="1550" spans="1:24" s="1" customFormat="1" ht="26.1" customHeight="1" x14ac:dyDescent="0.3">
      <c r="A1550" s="24" t="s">
        <v>23</v>
      </c>
      <c r="B1550" s="24" t="s">
        <v>1831</v>
      </c>
      <c r="C1550" s="12" t="s">
        <v>1832</v>
      </c>
      <c r="D1550" s="55"/>
      <c r="E1550" s="39" t="str">
        <f>HYPERLINK("https://www.google.ru/search?q=3028424-102&amp;newwindow=1&amp;tbm=isch","Еще фото")</f>
        <v>Еще фото</v>
      </c>
      <c r="F1550" s="13" t="s">
        <v>98</v>
      </c>
      <c r="G1550" s="24" t="s">
        <v>808</v>
      </c>
      <c r="H1550" s="24" t="s">
        <v>593</v>
      </c>
      <c r="I1550" s="24" t="s">
        <v>1833</v>
      </c>
      <c r="J1550" s="14" t="s">
        <v>47</v>
      </c>
      <c r="K1550" s="15" t="s">
        <v>30</v>
      </c>
      <c r="L1550" s="58"/>
      <c r="M1550" s="14"/>
      <c r="N1550" s="14" t="s">
        <v>74</v>
      </c>
      <c r="O1550" s="14"/>
      <c r="P1550" s="15" t="s">
        <v>1835</v>
      </c>
      <c r="Q1550" s="16">
        <v>14699</v>
      </c>
      <c r="R1550" s="17">
        <v>64.3</v>
      </c>
      <c r="S1550" s="18">
        <v>6034.9354999999996</v>
      </c>
      <c r="T1550" s="19" t="s">
        <v>36</v>
      </c>
      <c r="U1550" s="20" t="s">
        <v>604</v>
      </c>
      <c r="V1550" s="22">
        <v>43</v>
      </c>
      <c r="W1550" s="22">
        <v>2</v>
      </c>
      <c r="X1550" s="23"/>
    </row>
    <row r="1551" spans="1:24" s="1" customFormat="1" ht="51.95" customHeight="1" x14ac:dyDescent="0.3">
      <c r="A1551" s="11" t="s">
        <v>23</v>
      </c>
      <c r="B1551" s="11" t="s">
        <v>1836</v>
      </c>
      <c r="C1551" s="12" t="s">
        <v>1837</v>
      </c>
      <c r="D1551" s="59"/>
      <c r="E1551" s="39" t="str">
        <f>HYPERLINK("https://www.google.ru/search?q=3027593-390&amp;newwindow=1&amp;tbm=isch","Еще фото")</f>
        <v>Еще фото</v>
      </c>
      <c r="F1551" s="13"/>
      <c r="G1551" s="11" t="s">
        <v>808</v>
      </c>
      <c r="H1551" s="11" t="s">
        <v>593</v>
      </c>
      <c r="I1551" s="14" t="s">
        <v>1833</v>
      </c>
      <c r="J1551" s="14" t="s">
        <v>47</v>
      </c>
      <c r="K1551" s="15" t="s">
        <v>30</v>
      </c>
      <c r="L1551" s="56" t="s">
        <v>1838</v>
      </c>
      <c r="M1551" s="14" t="s">
        <v>824</v>
      </c>
      <c r="N1551" s="14" t="s">
        <v>125</v>
      </c>
      <c r="O1551" s="14"/>
      <c r="P1551" s="15" t="s">
        <v>1839</v>
      </c>
      <c r="Q1551" s="16">
        <v>17699</v>
      </c>
      <c r="R1551" s="17">
        <v>58.88</v>
      </c>
      <c r="S1551" s="18">
        <v>8369.4354999999996</v>
      </c>
      <c r="T1551" s="19" t="s">
        <v>36</v>
      </c>
      <c r="U1551" s="20" t="s">
        <v>598</v>
      </c>
      <c r="V1551" s="22">
        <v>39</v>
      </c>
      <c r="W1551" s="22">
        <v>2</v>
      </c>
      <c r="X1551" s="23"/>
    </row>
    <row r="1552" spans="1:24" s="1" customFormat="1" ht="60.95" customHeight="1" x14ac:dyDescent="0.3">
      <c r="A1552" s="24" t="s">
        <v>23</v>
      </c>
      <c r="B1552" s="24" t="s">
        <v>1836</v>
      </c>
      <c r="C1552" s="12" t="s">
        <v>1837</v>
      </c>
      <c r="D1552" s="60"/>
      <c r="E1552" s="39" t="str">
        <f>HYPERLINK("https://www.google.ru/search?q=3027593-390&amp;newwindow=1&amp;tbm=isch","Еще фото")</f>
        <v>Еще фото</v>
      </c>
      <c r="F1552" s="13"/>
      <c r="G1552" s="24" t="s">
        <v>808</v>
      </c>
      <c r="H1552" s="24" t="s">
        <v>593</v>
      </c>
      <c r="I1552" s="24" t="s">
        <v>1833</v>
      </c>
      <c r="J1552" s="14" t="s">
        <v>47</v>
      </c>
      <c r="K1552" s="15" t="s">
        <v>30</v>
      </c>
      <c r="L1552" s="58"/>
      <c r="M1552" s="14" t="s">
        <v>824</v>
      </c>
      <c r="N1552" s="14" t="s">
        <v>125</v>
      </c>
      <c r="O1552" s="14"/>
      <c r="P1552" s="15" t="s">
        <v>1839</v>
      </c>
      <c r="Q1552" s="16">
        <v>17699</v>
      </c>
      <c r="R1552" s="17">
        <v>58.88</v>
      </c>
      <c r="S1552" s="18">
        <v>8369.4354999999996</v>
      </c>
      <c r="T1552" s="19" t="s">
        <v>36</v>
      </c>
      <c r="U1552" s="20" t="s">
        <v>602</v>
      </c>
      <c r="V1552" s="28">
        <v>41.5</v>
      </c>
      <c r="W1552" s="22">
        <v>2</v>
      </c>
      <c r="X1552" s="23"/>
    </row>
    <row r="1553" spans="1:24" s="1" customFormat="1" ht="108" customHeight="1" x14ac:dyDescent="0.3">
      <c r="A1553" s="11" t="s">
        <v>23</v>
      </c>
      <c r="B1553" s="11" t="s">
        <v>1840</v>
      </c>
      <c r="C1553" s="12" t="s">
        <v>1841</v>
      </c>
      <c r="D1553" s="25"/>
      <c r="E1553" s="39" t="str">
        <f>HYPERLINK("https://www.google.ru/search?q=3024698-001&amp;newwindow=1&amp;tbm=isch","Еще фото")</f>
        <v>Еще фото</v>
      </c>
      <c r="F1553" s="13"/>
      <c r="G1553" s="11" t="s">
        <v>808</v>
      </c>
      <c r="H1553" s="11" t="s">
        <v>593</v>
      </c>
      <c r="I1553" s="14" t="s">
        <v>1833</v>
      </c>
      <c r="J1553" s="14" t="s">
        <v>47</v>
      </c>
      <c r="K1553" s="15" t="s">
        <v>64</v>
      </c>
      <c r="L1553" s="14" t="s">
        <v>1842</v>
      </c>
      <c r="M1553" s="14" t="s">
        <v>824</v>
      </c>
      <c r="N1553" s="14" t="s">
        <v>33</v>
      </c>
      <c r="O1553" s="14" t="s">
        <v>34</v>
      </c>
      <c r="P1553" s="15" t="s">
        <v>1843</v>
      </c>
      <c r="Q1553" s="16">
        <v>17299</v>
      </c>
      <c r="R1553" s="17">
        <v>58.85</v>
      </c>
      <c r="S1553" s="18">
        <v>8185.4354999999996</v>
      </c>
      <c r="T1553" s="19" t="s">
        <v>36</v>
      </c>
      <c r="U1553" s="20" t="s">
        <v>813</v>
      </c>
      <c r="V1553" s="28">
        <v>35.5</v>
      </c>
      <c r="W1553" s="22">
        <v>1</v>
      </c>
      <c r="X1553" s="23"/>
    </row>
    <row r="1554" spans="1:24" s="1" customFormat="1" ht="12.95" customHeight="1" x14ac:dyDescent="0.3">
      <c r="A1554" s="11" t="s">
        <v>23</v>
      </c>
      <c r="B1554" s="11" t="s">
        <v>1844</v>
      </c>
      <c r="C1554" s="12" t="s">
        <v>1845</v>
      </c>
      <c r="D1554" s="53"/>
      <c r="E1554" s="39" t="str">
        <f t="shared" ref="E1554:E1561" si="42">HYPERLINK("https://www.google.ru/search?q=3027596-104&amp;newwindow=1&amp;tbm=isch","Еще фото")</f>
        <v>Еще фото</v>
      </c>
      <c r="F1554" s="13"/>
      <c r="G1554" s="11" t="s">
        <v>808</v>
      </c>
      <c r="H1554" s="11" t="s">
        <v>593</v>
      </c>
      <c r="I1554" s="14" t="s">
        <v>1833</v>
      </c>
      <c r="J1554" s="14" t="s">
        <v>47</v>
      </c>
      <c r="K1554" s="15" t="s">
        <v>578</v>
      </c>
      <c r="L1554" s="56" t="s">
        <v>1846</v>
      </c>
      <c r="M1554" s="14" t="s">
        <v>824</v>
      </c>
      <c r="N1554" s="14" t="s">
        <v>74</v>
      </c>
      <c r="O1554" s="14"/>
      <c r="P1554" s="15" t="s">
        <v>1847</v>
      </c>
      <c r="Q1554" s="16">
        <v>17699</v>
      </c>
      <c r="R1554" s="17">
        <v>56.56</v>
      </c>
      <c r="S1554" s="18">
        <v>8840.9354999999996</v>
      </c>
      <c r="T1554" s="19" t="s">
        <v>36</v>
      </c>
      <c r="U1554" s="35" t="s">
        <v>945</v>
      </c>
      <c r="V1554" s="22">
        <v>41</v>
      </c>
      <c r="W1554" s="22">
        <v>3</v>
      </c>
      <c r="X1554" s="23"/>
    </row>
    <row r="1555" spans="1:24" s="1" customFormat="1" ht="12.95" customHeight="1" x14ac:dyDescent="0.3">
      <c r="A1555" s="24" t="s">
        <v>23</v>
      </c>
      <c r="B1555" s="24" t="s">
        <v>1844</v>
      </c>
      <c r="C1555" s="12" t="s">
        <v>1845</v>
      </c>
      <c r="D1555" s="54"/>
      <c r="E1555" s="39" t="str">
        <f t="shared" si="42"/>
        <v>Еще фото</v>
      </c>
      <c r="F1555" s="13"/>
      <c r="G1555" s="24" t="s">
        <v>808</v>
      </c>
      <c r="H1555" s="24" t="s">
        <v>593</v>
      </c>
      <c r="I1555" s="24" t="s">
        <v>1833</v>
      </c>
      <c r="J1555" s="14" t="s">
        <v>47</v>
      </c>
      <c r="K1555" s="15" t="s">
        <v>578</v>
      </c>
      <c r="L1555" s="57"/>
      <c r="M1555" s="14" t="s">
        <v>824</v>
      </c>
      <c r="N1555" s="14" t="s">
        <v>74</v>
      </c>
      <c r="O1555" s="14"/>
      <c r="P1555" s="15" t="s">
        <v>1847</v>
      </c>
      <c r="Q1555" s="16">
        <v>17699</v>
      </c>
      <c r="R1555" s="17">
        <v>56.56</v>
      </c>
      <c r="S1555" s="18">
        <v>8840.9354999999996</v>
      </c>
      <c r="T1555" s="19" t="s">
        <v>36</v>
      </c>
      <c r="U1555" s="20" t="s">
        <v>875</v>
      </c>
      <c r="V1555" s="28">
        <v>41.5</v>
      </c>
      <c r="W1555" s="22">
        <v>5</v>
      </c>
      <c r="X1555" s="23"/>
    </row>
    <row r="1556" spans="1:24" s="1" customFormat="1" ht="12.95" customHeight="1" x14ac:dyDescent="0.3">
      <c r="A1556" s="24" t="s">
        <v>23</v>
      </c>
      <c r="B1556" s="24" t="s">
        <v>1844</v>
      </c>
      <c r="C1556" s="12" t="s">
        <v>1845</v>
      </c>
      <c r="D1556" s="54"/>
      <c r="E1556" s="39" t="str">
        <f t="shared" si="42"/>
        <v>Еще фото</v>
      </c>
      <c r="F1556" s="13"/>
      <c r="G1556" s="24" t="s">
        <v>808</v>
      </c>
      <c r="H1556" s="24" t="s">
        <v>593</v>
      </c>
      <c r="I1556" s="24" t="s">
        <v>1833</v>
      </c>
      <c r="J1556" s="14" t="s">
        <v>47</v>
      </c>
      <c r="K1556" s="15" t="s">
        <v>578</v>
      </c>
      <c r="L1556" s="57"/>
      <c r="M1556" s="14" t="s">
        <v>824</v>
      </c>
      <c r="N1556" s="14" t="s">
        <v>74</v>
      </c>
      <c r="O1556" s="14"/>
      <c r="P1556" s="15" t="s">
        <v>1847</v>
      </c>
      <c r="Q1556" s="16">
        <v>17699</v>
      </c>
      <c r="R1556" s="17">
        <v>56.56</v>
      </c>
      <c r="S1556" s="18">
        <v>8840.9354999999996</v>
      </c>
      <c r="T1556" s="19" t="s">
        <v>36</v>
      </c>
      <c r="U1556" s="20" t="s">
        <v>876</v>
      </c>
      <c r="V1556" s="22">
        <v>42</v>
      </c>
      <c r="W1556" s="22">
        <v>5</v>
      </c>
      <c r="X1556" s="23"/>
    </row>
    <row r="1557" spans="1:24" s="1" customFormat="1" ht="12.95" customHeight="1" x14ac:dyDescent="0.3">
      <c r="A1557" s="24" t="s">
        <v>23</v>
      </c>
      <c r="B1557" s="24" t="s">
        <v>1844</v>
      </c>
      <c r="C1557" s="12" t="s">
        <v>1845</v>
      </c>
      <c r="D1557" s="54"/>
      <c r="E1557" s="39" t="str">
        <f t="shared" si="42"/>
        <v>Еще фото</v>
      </c>
      <c r="F1557" s="13"/>
      <c r="G1557" s="24" t="s">
        <v>808</v>
      </c>
      <c r="H1557" s="24" t="s">
        <v>593</v>
      </c>
      <c r="I1557" s="24" t="s">
        <v>1833</v>
      </c>
      <c r="J1557" s="14" t="s">
        <v>47</v>
      </c>
      <c r="K1557" s="15" t="s">
        <v>578</v>
      </c>
      <c r="L1557" s="57"/>
      <c r="M1557" s="14" t="s">
        <v>824</v>
      </c>
      <c r="N1557" s="14" t="s">
        <v>74</v>
      </c>
      <c r="O1557" s="14"/>
      <c r="P1557" s="15" t="s">
        <v>1847</v>
      </c>
      <c r="Q1557" s="16">
        <v>17699</v>
      </c>
      <c r="R1557" s="17">
        <v>56.56</v>
      </c>
      <c r="S1557" s="18">
        <v>8840.9354999999996</v>
      </c>
      <c r="T1557" s="19" t="s">
        <v>36</v>
      </c>
      <c r="U1557" s="20" t="s">
        <v>877</v>
      </c>
      <c r="V1557" s="22">
        <v>43</v>
      </c>
      <c r="W1557" s="22">
        <v>6</v>
      </c>
      <c r="X1557" s="23"/>
    </row>
    <row r="1558" spans="1:24" s="1" customFormat="1" ht="12.95" customHeight="1" x14ac:dyDescent="0.3">
      <c r="A1558" s="24" t="s">
        <v>23</v>
      </c>
      <c r="B1558" s="24" t="s">
        <v>1844</v>
      </c>
      <c r="C1558" s="12" t="s">
        <v>1845</v>
      </c>
      <c r="D1558" s="54"/>
      <c r="E1558" s="39" t="str">
        <f t="shared" si="42"/>
        <v>Еще фото</v>
      </c>
      <c r="F1558" s="13"/>
      <c r="G1558" s="24" t="s">
        <v>808</v>
      </c>
      <c r="H1558" s="24" t="s">
        <v>593</v>
      </c>
      <c r="I1558" s="24" t="s">
        <v>1833</v>
      </c>
      <c r="J1558" s="14" t="s">
        <v>47</v>
      </c>
      <c r="K1558" s="15" t="s">
        <v>578</v>
      </c>
      <c r="L1558" s="57"/>
      <c r="M1558" s="14" t="s">
        <v>824</v>
      </c>
      <c r="N1558" s="14" t="s">
        <v>74</v>
      </c>
      <c r="O1558" s="14"/>
      <c r="P1558" s="15" t="s">
        <v>1847</v>
      </c>
      <c r="Q1558" s="16">
        <v>17699</v>
      </c>
      <c r="R1558" s="17">
        <v>56.56</v>
      </c>
      <c r="S1558" s="18">
        <v>8840.9354999999996</v>
      </c>
      <c r="T1558" s="19" t="s">
        <v>36</v>
      </c>
      <c r="U1558" s="20" t="s">
        <v>878</v>
      </c>
      <c r="V1558" s="28">
        <v>43.5</v>
      </c>
      <c r="W1558" s="22">
        <v>6</v>
      </c>
      <c r="X1558" s="23"/>
    </row>
    <row r="1559" spans="1:24" s="1" customFormat="1" ht="12.95" customHeight="1" x14ac:dyDescent="0.3">
      <c r="A1559" s="24" t="s">
        <v>23</v>
      </c>
      <c r="B1559" s="24" t="s">
        <v>1844</v>
      </c>
      <c r="C1559" s="12" t="s">
        <v>1845</v>
      </c>
      <c r="D1559" s="54"/>
      <c r="E1559" s="39" t="str">
        <f t="shared" si="42"/>
        <v>Еще фото</v>
      </c>
      <c r="F1559" s="13"/>
      <c r="G1559" s="24" t="s">
        <v>808</v>
      </c>
      <c r="H1559" s="24" t="s">
        <v>593</v>
      </c>
      <c r="I1559" s="24" t="s">
        <v>1833</v>
      </c>
      <c r="J1559" s="14" t="s">
        <v>47</v>
      </c>
      <c r="K1559" s="15" t="s">
        <v>578</v>
      </c>
      <c r="L1559" s="57"/>
      <c r="M1559" s="14" t="s">
        <v>824</v>
      </c>
      <c r="N1559" s="14" t="s">
        <v>74</v>
      </c>
      <c r="O1559" s="14"/>
      <c r="P1559" s="15" t="s">
        <v>1847</v>
      </c>
      <c r="Q1559" s="16">
        <v>17699</v>
      </c>
      <c r="R1559" s="17">
        <v>56.56</v>
      </c>
      <c r="S1559" s="18">
        <v>8840.9354999999996</v>
      </c>
      <c r="T1559" s="19" t="s">
        <v>36</v>
      </c>
      <c r="U1559" s="20" t="s">
        <v>879</v>
      </c>
      <c r="V1559" s="22">
        <v>44</v>
      </c>
      <c r="W1559" s="22">
        <v>3</v>
      </c>
      <c r="X1559" s="23"/>
    </row>
    <row r="1560" spans="1:24" s="1" customFormat="1" ht="12.95" customHeight="1" x14ac:dyDescent="0.3">
      <c r="A1560" s="24" t="s">
        <v>23</v>
      </c>
      <c r="B1560" s="24" t="s">
        <v>1844</v>
      </c>
      <c r="C1560" s="12" t="s">
        <v>1845</v>
      </c>
      <c r="D1560" s="54"/>
      <c r="E1560" s="39" t="str">
        <f t="shared" si="42"/>
        <v>Еще фото</v>
      </c>
      <c r="F1560" s="13"/>
      <c r="G1560" s="24" t="s">
        <v>808</v>
      </c>
      <c r="H1560" s="24" t="s">
        <v>593</v>
      </c>
      <c r="I1560" s="24" t="s">
        <v>1833</v>
      </c>
      <c r="J1560" s="14" t="s">
        <v>47</v>
      </c>
      <c r="K1560" s="15" t="s">
        <v>578</v>
      </c>
      <c r="L1560" s="57"/>
      <c r="M1560" s="14" t="s">
        <v>824</v>
      </c>
      <c r="N1560" s="14" t="s">
        <v>74</v>
      </c>
      <c r="O1560" s="14"/>
      <c r="P1560" s="15" t="s">
        <v>1847</v>
      </c>
      <c r="Q1560" s="16">
        <v>17699</v>
      </c>
      <c r="R1560" s="17">
        <v>56.56</v>
      </c>
      <c r="S1560" s="18">
        <v>8840.9354999999996</v>
      </c>
      <c r="T1560" s="19" t="s">
        <v>36</v>
      </c>
      <c r="U1560" s="20" t="s">
        <v>880</v>
      </c>
      <c r="V1560" s="28">
        <v>44.5</v>
      </c>
      <c r="W1560" s="22">
        <v>3</v>
      </c>
      <c r="X1560" s="23"/>
    </row>
    <row r="1561" spans="1:24" s="1" customFormat="1" ht="18" customHeight="1" x14ac:dyDescent="0.3">
      <c r="A1561" s="24" t="s">
        <v>23</v>
      </c>
      <c r="B1561" s="24" t="s">
        <v>1844</v>
      </c>
      <c r="C1561" s="12" t="s">
        <v>1845</v>
      </c>
      <c r="D1561" s="55"/>
      <c r="E1561" s="39" t="str">
        <f t="shared" si="42"/>
        <v>Еще фото</v>
      </c>
      <c r="F1561" s="13"/>
      <c r="G1561" s="24" t="s">
        <v>808</v>
      </c>
      <c r="H1561" s="24" t="s">
        <v>593</v>
      </c>
      <c r="I1561" s="24" t="s">
        <v>1833</v>
      </c>
      <c r="J1561" s="14" t="s">
        <v>47</v>
      </c>
      <c r="K1561" s="15" t="s">
        <v>578</v>
      </c>
      <c r="L1561" s="58"/>
      <c r="M1561" s="14" t="s">
        <v>824</v>
      </c>
      <c r="N1561" s="14" t="s">
        <v>74</v>
      </c>
      <c r="O1561" s="14"/>
      <c r="P1561" s="15" t="s">
        <v>1847</v>
      </c>
      <c r="Q1561" s="16">
        <v>17699</v>
      </c>
      <c r="R1561" s="17">
        <v>56.56</v>
      </c>
      <c r="S1561" s="18">
        <v>8840.9354999999996</v>
      </c>
      <c r="T1561" s="19" t="s">
        <v>36</v>
      </c>
      <c r="U1561" s="20" t="s">
        <v>1848</v>
      </c>
      <c r="V1561" s="22">
        <v>45</v>
      </c>
      <c r="W1561" s="22">
        <v>2</v>
      </c>
      <c r="X1561" s="23"/>
    </row>
    <row r="1562" spans="1:24" s="1" customFormat="1" ht="108" customHeight="1" x14ac:dyDescent="0.3">
      <c r="A1562" s="11" t="s">
        <v>23</v>
      </c>
      <c r="B1562" s="11" t="s">
        <v>1849</v>
      </c>
      <c r="C1562" s="12" t="s">
        <v>1850</v>
      </c>
      <c r="D1562" s="25"/>
      <c r="E1562" s="39" t="str">
        <f>HYPERLINK("https://www.google.ru/search?q=3027625-102&amp;newwindow=1&amp;tbm=isch","Еще фото")</f>
        <v>Еще фото</v>
      </c>
      <c r="F1562" s="13"/>
      <c r="G1562" s="11" t="s">
        <v>808</v>
      </c>
      <c r="H1562" s="11" t="s">
        <v>593</v>
      </c>
      <c r="I1562" s="14" t="s">
        <v>1833</v>
      </c>
      <c r="J1562" s="14" t="s">
        <v>47</v>
      </c>
      <c r="K1562" s="15" t="s">
        <v>578</v>
      </c>
      <c r="L1562" s="14" t="s">
        <v>1851</v>
      </c>
      <c r="M1562" s="14" t="s">
        <v>32</v>
      </c>
      <c r="N1562" s="14" t="s">
        <v>84</v>
      </c>
      <c r="O1562" s="14"/>
      <c r="P1562" s="15" t="s">
        <v>894</v>
      </c>
      <c r="Q1562" s="16">
        <v>24099</v>
      </c>
      <c r="R1562" s="17">
        <v>55.73</v>
      </c>
      <c r="S1562" s="18">
        <v>12267.9355</v>
      </c>
      <c r="T1562" s="19" t="s">
        <v>36</v>
      </c>
      <c r="U1562" s="20" t="s">
        <v>878</v>
      </c>
      <c r="V1562" s="28">
        <v>43.5</v>
      </c>
      <c r="W1562" s="22">
        <v>2</v>
      </c>
      <c r="X1562" s="23"/>
    </row>
    <row r="1563" spans="1:24" s="1" customFormat="1" ht="21" customHeight="1" x14ac:dyDescent="0.3">
      <c r="A1563" s="11" t="s">
        <v>23</v>
      </c>
      <c r="B1563" s="11" t="s">
        <v>1852</v>
      </c>
      <c r="C1563" s="26" t="s">
        <v>1853</v>
      </c>
      <c r="D1563" s="53"/>
      <c r="E1563" s="39" t="str">
        <f>HYPERLINK("https://www.google.ru/search?q=3024911-601&amp;newwindow=1&amp;tbm=isch","Еще фото")</f>
        <v>Еще фото</v>
      </c>
      <c r="F1563" s="34" t="s">
        <v>817</v>
      </c>
      <c r="G1563" s="11" t="s">
        <v>808</v>
      </c>
      <c r="H1563" s="11" t="s">
        <v>593</v>
      </c>
      <c r="I1563" s="14" t="s">
        <v>1833</v>
      </c>
      <c r="J1563" s="14" t="s">
        <v>47</v>
      </c>
      <c r="K1563" s="15" t="s">
        <v>64</v>
      </c>
      <c r="L1563" s="56" t="s">
        <v>1854</v>
      </c>
      <c r="M1563" s="14" t="s">
        <v>1855</v>
      </c>
      <c r="N1563" s="14" t="s">
        <v>57</v>
      </c>
      <c r="O1563" s="14"/>
      <c r="P1563" s="15" t="s">
        <v>1856</v>
      </c>
      <c r="Q1563" s="16">
        <v>17999</v>
      </c>
      <c r="R1563" s="17">
        <v>55.73</v>
      </c>
      <c r="S1563" s="18">
        <v>9162.9354999999996</v>
      </c>
      <c r="T1563" s="19" t="s">
        <v>36</v>
      </c>
      <c r="U1563" s="20" t="s">
        <v>814</v>
      </c>
      <c r="V1563" s="28">
        <v>36.5</v>
      </c>
      <c r="W1563" s="22">
        <v>1</v>
      </c>
      <c r="X1563" s="23"/>
    </row>
    <row r="1564" spans="1:24" s="1" customFormat="1" ht="21" customHeight="1" x14ac:dyDescent="0.3">
      <c r="A1564" s="24" t="s">
        <v>23</v>
      </c>
      <c r="B1564" s="24" t="s">
        <v>1852</v>
      </c>
      <c r="C1564" s="27" t="s">
        <v>1853</v>
      </c>
      <c r="D1564" s="54"/>
      <c r="E1564" s="39" t="str">
        <f>HYPERLINK("https://www.google.ru/search?q=3024911-601&amp;newwindow=1&amp;tbm=isch","Еще фото")</f>
        <v>Еще фото</v>
      </c>
      <c r="F1564" s="34" t="s">
        <v>817</v>
      </c>
      <c r="G1564" s="24" t="s">
        <v>808</v>
      </c>
      <c r="H1564" s="24" t="s">
        <v>593</v>
      </c>
      <c r="I1564" s="24" t="s">
        <v>1833</v>
      </c>
      <c r="J1564" s="14" t="s">
        <v>47</v>
      </c>
      <c r="K1564" s="15" t="s">
        <v>64</v>
      </c>
      <c r="L1564" s="57"/>
      <c r="M1564" s="14" t="s">
        <v>1855</v>
      </c>
      <c r="N1564" s="14" t="s">
        <v>57</v>
      </c>
      <c r="O1564" s="14"/>
      <c r="P1564" s="15" t="s">
        <v>1856</v>
      </c>
      <c r="Q1564" s="16">
        <v>17999</v>
      </c>
      <c r="R1564" s="17">
        <v>55.73</v>
      </c>
      <c r="S1564" s="18">
        <v>9162.9354999999996</v>
      </c>
      <c r="T1564" s="19" t="s">
        <v>36</v>
      </c>
      <c r="U1564" s="20" t="s">
        <v>598</v>
      </c>
      <c r="V1564" s="22">
        <v>37</v>
      </c>
      <c r="W1564" s="22">
        <v>1</v>
      </c>
      <c r="X1564" s="23"/>
    </row>
    <row r="1565" spans="1:24" s="1" customFormat="1" ht="21" customHeight="1" x14ac:dyDescent="0.3">
      <c r="A1565" s="24" t="s">
        <v>23</v>
      </c>
      <c r="B1565" s="24" t="s">
        <v>1852</v>
      </c>
      <c r="C1565" s="27" t="s">
        <v>1853</v>
      </c>
      <c r="D1565" s="54"/>
      <c r="E1565" s="39" t="str">
        <f>HYPERLINK("https://www.google.ru/search?q=3024911-601&amp;newwindow=1&amp;tbm=isch","Еще фото")</f>
        <v>Еще фото</v>
      </c>
      <c r="F1565" s="34" t="s">
        <v>817</v>
      </c>
      <c r="G1565" s="24" t="s">
        <v>808</v>
      </c>
      <c r="H1565" s="24" t="s">
        <v>593</v>
      </c>
      <c r="I1565" s="24" t="s">
        <v>1833</v>
      </c>
      <c r="J1565" s="14" t="s">
        <v>47</v>
      </c>
      <c r="K1565" s="15" t="s">
        <v>64</v>
      </c>
      <c r="L1565" s="57"/>
      <c r="M1565" s="14" t="s">
        <v>1855</v>
      </c>
      <c r="N1565" s="14" t="s">
        <v>57</v>
      </c>
      <c r="O1565" s="14"/>
      <c r="P1565" s="15" t="s">
        <v>1856</v>
      </c>
      <c r="Q1565" s="16">
        <v>17999</v>
      </c>
      <c r="R1565" s="17">
        <v>55.73</v>
      </c>
      <c r="S1565" s="18">
        <v>9162.9354999999996</v>
      </c>
      <c r="T1565" s="19" t="s">
        <v>36</v>
      </c>
      <c r="U1565" s="20" t="s">
        <v>599</v>
      </c>
      <c r="V1565" s="28">
        <v>37.5</v>
      </c>
      <c r="W1565" s="22">
        <v>2</v>
      </c>
      <c r="X1565" s="23"/>
    </row>
    <row r="1566" spans="1:24" s="1" customFormat="1" ht="21" customHeight="1" x14ac:dyDescent="0.3">
      <c r="A1566" s="24" t="s">
        <v>23</v>
      </c>
      <c r="B1566" s="24" t="s">
        <v>1852</v>
      </c>
      <c r="C1566" s="27" t="s">
        <v>1853</v>
      </c>
      <c r="D1566" s="54"/>
      <c r="E1566" s="39" t="str">
        <f>HYPERLINK("https://www.google.ru/search?q=3024911-601&amp;newwindow=1&amp;tbm=isch","Еще фото")</f>
        <v>Еще фото</v>
      </c>
      <c r="F1566" s="34" t="s">
        <v>817</v>
      </c>
      <c r="G1566" s="24" t="s">
        <v>808</v>
      </c>
      <c r="H1566" s="24" t="s">
        <v>593</v>
      </c>
      <c r="I1566" s="24" t="s">
        <v>1833</v>
      </c>
      <c r="J1566" s="14" t="s">
        <v>47</v>
      </c>
      <c r="K1566" s="15" t="s">
        <v>64</v>
      </c>
      <c r="L1566" s="57"/>
      <c r="M1566" s="14" t="s">
        <v>1855</v>
      </c>
      <c r="N1566" s="14" t="s">
        <v>57</v>
      </c>
      <c r="O1566" s="14"/>
      <c r="P1566" s="15" t="s">
        <v>1856</v>
      </c>
      <c r="Q1566" s="16">
        <v>17999</v>
      </c>
      <c r="R1566" s="17">
        <v>55.73</v>
      </c>
      <c r="S1566" s="18">
        <v>9162.9354999999996</v>
      </c>
      <c r="T1566" s="19" t="s">
        <v>36</v>
      </c>
      <c r="U1566" s="20" t="s">
        <v>600</v>
      </c>
      <c r="V1566" s="22">
        <v>38</v>
      </c>
      <c r="W1566" s="22">
        <v>3</v>
      </c>
      <c r="X1566" s="23"/>
    </row>
    <row r="1567" spans="1:24" s="1" customFormat="1" ht="32.1" customHeight="1" x14ac:dyDescent="0.3">
      <c r="A1567" s="24" t="s">
        <v>23</v>
      </c>
      <c r="B1567" s="24" t="s">
        <v>1852</v>
      </c>
      <c r="C1567" s="27" t="s">
        <v>1853</v>
      </c>
      <c r="D1567" s="55"/>
      <c r="E1567" s="39" t="str">
        <f>HYPERLINK("https://www.google.ru/search?q=3024911-601&amp;newwindow=1&amp;tbm=isch","Еще фото")</f>
        <v>Еще фото</v>
      </c>
      <c r="F1567" s="34" t="s">
        <v>817</v>
      </c>
      <c r="G1567" s="24" t="s">
        <v>808</v>
      </c>
      <c r="H1567" s="24" t="s">
        <v>593</v>
      </c>
      <c r="I1567" s="24" t="s">
        <v>1833</v>
      </c>
      <c r="J1567" s="14" t="s">
        <v>47</v>
      </c>
      <c r="K1567" s="15" t="s">
        <v>64</v>
      </c>
      <c r="L1567" s="58"/>
      <c r="M1567" s="14" t="s">
        <v>1855</v>
      </c>
      <c r="N1567" s="14" t="s">
        <v>57</v>
      </c>
      <c r="O1567" s="14"/>
      <c r="P1567" s="15" t="s">
        <v>1856</v>
      </c>
      <c r="Q1567" s="16">
        <v>17999</v>
      </c>
      <c r="R1567" s="17">
        <v>55.73</v>
      </c>
      <c r="S1567" s="18">
        <v>9162.9354999999996</v>
      </c>
      <c r="T1567" s="19" t="s">
        <v>36</v>
      </c>
      <c r="U1567" s="20" t="s">
        <v>602</v>
      </c>
      <c r="V1567" s="28">
        <v>39.5</v>
      </c>
      <c r="W1567" s="22">
        <v>1</v>
      </c>
      <c r="X1567" s="23"/>
    </row>
    <row r="1568" spans="1:24" s="1" customFormat="1" ht="35.1" customHeight="1" x14ac:dyDescent="0.3">
      <c r="A1568" s="11" t="s">
        <v>23</v>
      </c>
      <c r="B1568" s="11" t="s">
        <v>1857</v>
      </c>
      <c r="C1568" s="12" t="s">
        <v>1858</v>
      </c>
      <c r="D1568" s="53"/>
      <c r="E1568" s="39" t="str">
        <f>HYPERLINK("https://www.google.ru/search?q=3028345-103&amp;newwindow=1&amp;tbm=isch","Еще фото")</f>
        <v>Еще фото</v>
      </c>
      <c r="F1568" s="13"/>
      <c r="G1568" s="11" t="s">
        <v>808</v>
      </c>
      <c r="H1568" s="11" t="s">
        <v>593</v>
      </c>
      <c r="I1568" s="14" t="s">
        <v>1833</v>
      </c>
      <c r="J1568" s="14" t="s">
        <v>47</v>
      </c>
      <c r="K1568" s="15" t="s">
        <v>30</v>
      </c>
      <c r="L1568" s="56" t="s">
        <v>1859</v>
      </c>
      <c r="M1568" s="14"/>
      <c r="N1568" s="14" t="s">
        <v>74</v>
      </c>
      <c r="O1568" s="14"/>
      <c r="P1568" s="15" t="s">
        <v>1860</v>
      </c>
      <c r="Q1568" s="16">
        <v>14999</v>
      </c>
      <c r="R1568" s="17">
        <v>48.81</v>
      </c>
      <c r="S1568" s="18">
        <v>8829.4354999999996</v>
      </c>
      <c r="T1568" s="19" t="s">
        <v>36</v>
      </c>
      <c r="U1568" s="20" t="s">
        <v>602</v>
      </c>
      <c r="V1568" s="28">
        <v>41.5</v>
      </c>
      <c r="W1568" s="22">
        <v>2</v>
      </c>
      <c r="X1568" s="23"/>
    </row>
    <row r="1569" spans="1:24" s="1" customFormat="1" ht="35.1" customHeight="1" x14ac:dyDescent="0.3">
      <c r="A1569" s="24" t="s">
        <v>23</v>
      </c>
      <c r="B1569" s="24" t="s">
        <v>1857</v>
      </c>
      <c r="C1569" s="12" t="s">
        <v>1858</v>
      </c>
      <c r="D1569" s="54"/>
      <c r="E1569" s="39" t="str">
        <f>HYPERLINK("https://www.google.ru/search?q=3028345-103&amp;newwindow=1&amp;tbm=isch","Еще фото")</f>
        <v>Еще фото</v>
      </c>
      <c r="F1569" s="13"/>
      <c r="G1569" s="24" t="s">
        <v>808</v>
      </c>
      <c r="H1569" s="24" t="s">
        <v>593</v>
      </c>
      <c r="I1569" s="24" t="s">
        <v>1833</v>
      </c>
      <c r="J1569" s="14" t="s">
        <v>47</v>
      </c>
      <c r="K1569" s="15" t="s">
        <v>30</v>
      </c>
      <c r="L1569" s="57"/>
      <c r="M1569" s="14"/>
      <c r="N1569" s="14" t="s">
        <v>74</v>
      </c>
      <c r="O1569" s="14"/>
      <c r="P1569" s="15" t="s">
        <v>1860</v>
      </c>
      <c r="Q1569" s="16">
        <v>14999</v>
      </c>
      <c r="R1569" s="17">
        <v>48.81</v>
      </c>
      <c r="S1569" s="18">
        <v>8829.4354999999996</v>
      </c>
      <c r="T1569" s="19" t="s">
        <v>36</v>
      </c>
      <c r="U1569" s="20" t="s">
        <v>604</v>
      </c>
      <c r="V1569" s="22">
        <v>43</v>
      </c>
      <c r="W1569" s="22">
        <v>2</v>
      </c>
      <c r="X1569" s="23"/>
    </row>
    <row r="1570" spans="1:24" s="1" customFormat="1" ht="36.950000000000003" customHeight="1" x14ac:dyDescent="0.3">
      <c r="A1570" s="24" t="s">
        <v>23</v>
      </c>
      <c r="B1570" s="24" t="s">
        <v>1857</v>
      </c>
      <c r="C1570" s="12" t="s">
        <v>1858</v>
      </c>
      <c r="D1570" s="55"/>
      <c r="E1570" s="39" t="str">
        <f>HYPERLINK("https://www.google.ru/search?q=3028345-103&amp;newwindow=1&amp;tbm=isch","Еще фото")</f>
        <v>Еще фото</v>
      </c>
      <c r="F1570" s="13"/>
      <c r="G1570" s="24" t="s">
        <v>808</v>
      </c>
      <c r="H1570" s="24" t="s">
        <v>593</v>
      </c>
      <c r="I1570" s="24" t="s">
        <v>1833</v>
      </c>
      <c r="J1570" s="14" t="s">
        <v>47</v>
      </c>
      <c r="K1570" s="15" t="s">
        <v>30</v>
      </c>
      <c r="L1570" s="58"/>
      <c r="M1570" s="14"/>
      <c r="N1570" s="14" t="s">
        <v>74</v>
      </c>
      <c r="O1570" s="14"/>
      <c r="P1570" s="15" t="s">
        <v>1860</v>
      </c>
      <c r="Q1570" s="16">
        <v>14999</v>
      </c>
      <c r="R1570" s="17">
        <v>48.81</v>
      </c>
      <c r="S1570" s="18">
        <v>8829.4354999999996</v>
      </c>
      <c r="T1570" s="19" t="s">
        <v>36</v>
      </c>
      <c r="U1570" s="20" t="s">
        <v>605</v>
      </c>
      <c r="V1570" s="28">
        <v>43.5</v>
      </c>
      <c r="W1570" s="22">
        <v>1</v>
      </c>
      <c r="X1570" s="23"/>
    </row>
    <row r="1571" spans="1:24" s="1" customFormat="1" ht="108" customHeight="1" x14ac:dyDescent="0.3">
      <c r="A1571" s="11" t="s">
        <v>23</v>
      </c>
      <c r="B1571" s="11" t="s">
        <v>1861</v>
      </c>
      <c r="C1571" s="12" t="s">
        <v>1862</v>
      </c>
      <c r="D1571" s="25"/>
      <c r="E1571" s="39" t="str">
        <f>HYPERLINK("https://www.google.ru/search?q=3023565-603&amp;newwindow=1&amp;tbm=isch","Еще фото")</f>
        <v>Еще фото</v>
      </c>
      <c r="F1571" s="13"/>
      <c r="G1571" s="11" t="s">
        <v>808</v>
      </c>
      <c r="H1571" s="11" t="s">
        <v>593</v>
      </c>
      <c r="I1571" s="14" t="s">
        <v>1833</v>
      </c>
      <c r="J1571" s="14" t="s">
        <v>47</v>
      </c>
      <c r="K1571" s="15" t="s">
        <v>64</v>
      </c>
      <c r="L1571" s="14" t="s">
        <v>1863</v>
      </c>
      <c r="M1571" s="14" t="s">
        <v>959</v>
      </c>
      <c r="N1571" s="14" t="s">
        <v>57</v>
      </c>
      <c r="O1571" s="14" t="s">
        <v>34</v>
      </c>
      <c r="P1571" s="15" t="s">
        <v>1864</v>
      </c>
      <c r="Q1571" s="16">
        <v>7599</v>
      </c>
      <c r="R1571" s="17">
        <v>46.05</v>
      </c>
      <c r="S1571" s="18">
        <v>4714.9884999999995</v>
      </c>
      <c r="T1571" s="19" t="s">
        <v>36</v>
      </c>
      <c r="U1571" s="20" t="s">
        <v>813</v>
      </c>
      <c r="V1571" s="28">
        <v>35.5</v>
      </c>
      <c r="W1571" s="22">
        <v>1</v>
      </c>
      <c r="X1571" s="23"/>
    </row>
    <row r="1572" spans="1:24" s="1" customFormat="1" ht="108" customHeight="1" x14ac:dyDescent="0.3">
      <c r="A1572" s="11" t="s">
        <v>23</v>
      </c>
      <c r="B1572" s="11" t="s">
        <v>1865</v>
      </c>
      <c r="C1572" s="12" t="s">
        <v>1866</v>
      </c>
      <c r="D1572" s="25"/>
      <c r="E1572" s="39" t="str">
        <f>HYPERLINK("https://www.google.ru/search?q=1296221-918&amp;newwindow=1&amp;tbm=isch","Еще фото")</f>
        <v>Еще фото</v>
      </c>
      <c r="F1572" s="13"/>
      <c r="G1572" s="11" t="s">
        <v>808</v>
      </c>
      <c r="H1572" s="11" t="s">
        <v>593</v>
      </c>
      <c r="I1572" s="14" t="s">
        <v>1833</v>
      </c>
      <c r="J1572" s="14" t="s">
        <v>47</v>
      </c>
      <c r="K1572" s="15" t="s">
        <v>64</v>
      </c>
      <c r="L1572" s="14" t="s">
        <v>1867</v>
      </c>
      <c r="M1572" s="14" t="s">
        <v>959</v>
      </c>
      <c r="N1572" s="14" t="s">
        <v>91</v>
      </c>
      <c r="O1572" s="14"/>
      <c r="P1572" s="15" t="s">
        <v>1239</v>
      </c>
      <c r="Q1572" s="16">
        <v>6299</v>
      </c>
      <c r="R1572" s="17">
        <v>46.02</v>
      </c>
      <c r="S1572" s="18">
        <v>3909.9884999999995</v>
      </c>
      <c r="T1572" s="19" t="s">
        <v>36</v>
      </c>
      <c r="U1572" s="20" t="s">
        <v>598</v>
      </c>
      <c r="V1572" s="22">
        <v>37</v>
      </c>
      <c r="W1572" s="22">
        <v>1</v>
      </c>
      <c r="X1572" s="23"/>
    </row>
    <row r="1573" spans="1:24" s="1" customFormat="1" ht="108" customHeight="1" x14ac:dyDescent="0.3">
      <c r="A1573" s="11" t="s">
        <v>23</v>
      </c>
      <c r="B1573" s="11" t="s">
        <v>1868</v>
      </c>
      <c r="C1573" s="12" t="s">
        <v>1869</v>
      </c>
      <c r="D1573" s="25"/>
      <c r="E1573" s="39" t="str">
        <f>HYPERLINK("https://www.google.ru/search?q=3023733-103&amp;newwindow=1&amp;tbm=isch","Еще фото")</f>
        <v>Еще фото</v>
      </c>
      <c r="F1573" s="13"/>
      <c r="G1573" s="11" t="s">
        <v>808</v>
      </c>
      <c r="H1573" s="11" t="s">
        <v>593</v>
      </c>
      <c r="I1573" s="14" t="s">
        <v>1833</v>
      </c>
      <c r="J1573" s="14" t="s">
        <v>212</v>
      </c>
      <c r="K1573" s="15" t="s">
        <v>64</v>
      </c>
      <c r="L1573" s="14" t="s">
        <v>1870</v>
      </c>
      <c r="M1573" s="14" t="s">
        <v>959</v>
      </c>
      <c r="N1573" s="14" t="s">
        <v>74</v>
      </c>
      <c r="O1573" s="14" t="s">
        <v>34</v>
      </c>
      <c r="P1573" s="15" t="s">
        <v>1871</v>
      </c>
      <c r="Q1573" s="16">
        <v>9799</v>
      </c>
      <c r="R1573" s="17">
        <v>45.91</v>
      </c>
      <c r="S1573" s="18">
        <v>6094.9884999999995</v>
      </c>
      <c r="T1573" s="19" t="s">
        <v>36</v>
      </c>
      <c r="U1573" s="20" t="s">
        <v>863</v>
      </c>
      <c r="V1573" s="22">
        <v>35</v>
      </c>
      <c r="W1573" s="22">
        <v>1</v>
      </c>
      <c r="X1573" s="23"/>
    </row>
    <row r="1574" spans="1:24" s="1" customFormat="1" ht="108" customHeight="1" x14ac:dyDescent="0.3">
      <c r="A1574" s="11" t="s">
        <v>23</v>
      </c>
      <c r="B1574" s="11" t="s">
        <v>1872</v>
      </c>
      <c r="C1574" s="12" t="s">
        <v>1873</v>
      </c>
      <c r="D1574" s="25"/>
      <c r="E1574" s="39" t="str">
        <f>HYPERLINK("https://www.google.ru/search?q=3028633-001&amp;newwindow=1&amp;tbm=isch","Еще фото")</f>
        <v>Еще фото</v>
      </c>
      <c r="F1574" s="13"/>
      <c r="G1574" s="11" t="s">
        <v>808</v>
      </c>
      <c r="H1574" s="11" t="s">
        <v>593</v>
      </c>
      <c r="I1574" s="14" t="s">
        <v>1833</v>
      </c>
      <c r="J1574" s="14" t="s">
        <v>47</v>
      </c>
      <c r="K1574" s="15" t="s">
        <v>30</v>
      </c>
      <c r="L1574" s="14" t="s">
        <v>1874</v>
      </c>
      <c r="M1574" s="14"/>
      <c r="N1574" s="14" t="s">
        <v>33</v>
      </c>
      <c r="O1574" s="14"/>
      <c r="P1574" s="15" t="s">
        <v>1875</v>
      </c>
      <c r="Q1574" s="16">
        <v>13599</v>
      </c>
      <c r="R1574" s="17">
        <v>45.58</v>
      </c>
      <c r="S1574" s="18">
        <v>8509.9884999999995</v>
      </c>
      <c r="T1574" s="19" t="s">
        <v>36</v>
      </c>
      <c r="U1574" s="20" t="s">
        <v>600</v>
      </c>
      <c r="V1574" s="22">
        <v>40</v>
      </c>
      <c r="W1574" s="22">
        <v>3</v>
      </c>
      <c r="X1574" s="23"/>
    </row>
    <row r="1575" spans="1:24" s="1" customFormat="1" ht="108" customHeight="1" x14ac:dyDescent="0.3">
      <c r="A1575" s="11" t="s">
        <v>23</v>
      </c>
      <c r="B1575" s="11" t="s">
        <v>1872</v>
      </c>
      <c r="C1575" s="12" t="s">
        <v>1876</v>
      </c>
      <c r="D1575" s="25"/>
      <c r="E1575" s="39" t="str">
        <f>HYPERLINK("https://www.google.ru/search?q=3028633-100&amp;newwindow=1&amp;tbm=isch","Еще фото")</f>
        <v>Еще фото</v>
      </c>
      <c r="F1575" s="13"/>
      <c r="G1575" s="11" t="s">
        <v>808</v>
      </c>
      <c r="H1575" s="11" t="s">
        <v>593</v>
      </c>
      <c r="I1575" s="14" t="s">
        <v>1833</v>
      </c>
      <c r="J1575" s="14" t="s">
        <v>47</v>
      </c>
      <c r="K1575" s="15" t="s">
        <v>30</v>
      </c>
      <c r="L1575" s="14" t="s">
        <v>1874</v>
      </c>
      <c r="M1575" s="14"/>
      <c r="N1575" s="14" t="s">
        <v>74</v>
      </c>
      <c r="O1575" s="14"/>
      <c r="P1575" s="15" t="s">
        <v>1875</v>
      </c>
      <c r="Q1575" s="16">
        <v>13599</v>
      </c>
      <c r="R1575" s="17">
        <v>45.58</v>
      </c>
      <c r="S1575" s="18">
        <v>8509.9884999999995</v>
      </c>
      <c r="T1575" s="19" t="s">
        <v>36</v>
      </c>
      <c r="U1575" s="20" t="s">
        <v>605</v>
      </c>
      <c r="V1575" s="28">
        <v>43.5</v>
      </c>
      <c r="W1575" s="22">
        <v>1</v>
      </c>
      <c r="X1575" s="23"/>
    </row>
    <row r="1576" spans="1:24" s="1" customFormat="1" ht="108" customHeight="1" x14ac:dyDescent="0.3">
      <c r="A1576" s="11" t="s">
        <v>23</v>
      </c>
      <c r="B1576" s="11" t="s">
        <v>1877</v>
      </c>
      <c r="C1576" s="12" t="s">
        <v>1878</v>
      </c>
      <c r="D1576" s="25"/>
      <c r="E1576" s="39" t="str">
        <f>HYPERLINK("https://www.google.ru/search?q=3025011-100&amp;newwindow=1&amp;tbm=isch","Еще фото")</f>
        <v>Еще фото</v>
      </c>
      <c r="F1576" s="13"/>
      <c r="G1576" s="11" t="s">
        <v>808</v>
      </c>
      <c r="H1576" s="11" t="s">
        <v>593</v>
      </c>
      <c r="I1576" s="14" t="s">
        <v>1833</v>
      </c>
      <c r="J1576" s="14" t="s">
        <v>47</v>
      </c>
      <c r="K1576" s="15" t="s">
        <v>64</v>
      </c>
      <c r="L1576" s="14"/>
      <c r="M1576" s="14"/>
      <c r="N1576" s="14" t="s">
        <v>84</v>
      </c>
      <c r="O1576" s="14"/>
      <c r="P1576" s="15" t="s">
        <v>1879</v>
      </c>
      <c r="Q1576" s="16">
        <v>19799</v>
      </c>
      <c r="R1576" s="17">
        <v>45.45</v>
      </c>
      <c r="S1576" s="18">
        <v>12419.988499999999</v>
      </c>
      <c r="T1576" s="19" t="s">
        <v>36</v>
      </c>
      <c r="U1576" s="20" t="s">
        <v>814</v>
      </c>
      <c r="V1576" s="28">
        <v>36.5</v>
      </c>
      <c r="W1576" s="22">
        <v>1</v>
      </c>
      <c r="X1576" s="23"/>
    </row>
    <row r="1577" spans="1:24" s="1" customFormat="1" ht="108" customHeight="1" x14ac:dyDescent="0.3">
      <c r="A1577" s="11" t="s">
        <v>23</v>
      </c>
      <c r="B1577" s="11" t="s">
        <v>1880</v>
      </c>
      <c r="C1577" s="12" t="s">
        <v>1881</v>
      </c>
      <c r="D1577" s="25"/>
      <c r="E1577" s="39" t="str">
        <f>HYPERLINK("https://www.google.ru/search?q=3024189-003&amp;newwindow=1&amp;tbm=isch","Еще фото")</f>
        <v>Еще фото</v>
      </c>
      <c r="F1577" s="13"/>
      <c r="G1577" s="11" t="s">
        <v>808</v>
      </c>
      <c r="H1577" s="11" t="s">
        <v>593</v>
      </c>
      <c r="I1577" s="14" t="s">
        <v>1833</v>
      </c>
      <c r="J1577" s="14" t="s">
        <v>47</v>
      </c>
      <c r="K1577" s="15" t="s">
        <v>64</v>
      </c>
      <c r="L1577" s="14" t="s">
        <v>1882</v>
      </c>
      <c r="M1577" s="14" t="s">
        <v>959</v>
      </c>
      <c r="N1577" s="14" t="s">
        <v>33</v>
      </c>
      <c r="O1577" s="14" t="s">
        <v>34</v>
      </c>
      <c r="P1577" s="15" t="s">
        <v>1883</v>
      </c>
      <c r="Q1577" s="16">
        <v>10999</v>
      </c>
      <c r="R1577" s="17">
        <v>45.45</v>
      </c>
      <c r="S1577" s="18">
        <v>6899.9884999999995</v>
      </c>
      <c r="T1577" s="19" t="s">
        <v>36</v>
      </c>
      <c r="U1577" s="20" t="s">
        <v>814</v>
      </c>
      <c r="V1577" s="28">
        <v>36.5</v>
      </c>
      <c r="W1577" s="22">
        <v>2</v>
      </c>
      <c r="X1577" s="23"/>
    </row>
    <row r="1578" spans="1:24" s="1" customFormat="1" ht="108" customHeight="1" x14ac:dyDescent="0.3">
      <c r="A1578" s="11" t="s">
        <v>23</v>
      </c>
      <c r="B1578" s="11" t="s">
        <v>1884</v>
      </c>
      <c r="C1578" s="12" t="s">
        <v>1885</v>
      </c>
      <c r="D1578" s="25"/>
      <c r="E1578" s="39" t="str">
        <f>HYPERLINK("https://www.google.ru/search?q=6007183-001&amp;newwindow=1&amp;tbm=isch","Еще фото")</f>
        <v>Еще фото</v>
      </c>
      <c r="F1578" s="13" t="s">
        <v>98</v>
      </c>
      <c r="G1578" s="11" t="s">
        <v>808</v>
      </c>
      <c r="H1578" s="11" t="s">
        <v>593</v>
      </c>
      <c r="I1578" s="14" t="s">
        <v>1833</v>
      </c>
      <c r="J1578" s="14" t="s">
        <v>47</v>
      </c>
      <c r="K1578" s="15" t="s">
        <v>30</v>
      </c>
      <c r="L1578" s="14" t="s">
        <v>1886</v>
      </c>
      <c r="M1578" s="14"/>
      <c r="N1578" s="14" t="s">
        <v>33</v>
      </c>
      <c r="O1578" s="14"/>
      <c r="P1578" s="15" t="s">
        <v>870</v>
      </c>
      <c r="Q1578" s="16">
        <v>17399</v>
      </c>
      <c r="R1578" s="17">
        <v>45.4</v>
      </c>
      <c r="S1578" s="18">
        <v>10924.988499999999</v>
      </c>
      <c r="T1578" s="19" t="s">
        <v>36</v>
      </c>
      <c r="U1578" s="20" t="s">
        <v>1500</v>
      </c>
      <c r="V1578" s="22">
        <v>46</v>
      </c>
      <c r="W1578" s="22">
        <v>1</v>
      </c>
      <c r="X1578" s="23"/>
    </row>
    <row r="1579" spans="1:24" s="1" customFormat="1" ht="108" customHeight="1" x14ac:dyDescent="0.3">
      <c r="A1579" s="11" t="s">
        <v>23</v>
      </c>
      <c r="B1579" s="11" t="s">
        <v>1887</v>
      </c>
      <c r="C1579" s="12" t="s">
        <v>1888</v>
      </c>
      <c r="D1579" s="25"/>
      <c r="E1579" s="39" t="str">
        <f>HYPERLINK("https://www.google.ru/search?q=3022619-002&amp;newwindow=1&amp;tbm=isch","Еще фото")</f>
        <v>Еще фото</v>
      </c>
      <c r="F1579" s="13"/>
      <c r="G1579" s="11" t="s">
        <v>808</v>
      </c>
      <c r="H1579" s="11" t="s">
        <v>593</v>
      </c>
      <c r="I1579" s="14" t="s">
        <v>1833</v>
      </c>
      <c r="J1579" s="14" t="s">
        <v>47</v>
      </c>
      <c r="K1579" s="15" t="s">
        <v>64</v>
      </c>
      <c r="L1579" s="14" t="s">
        <v>1889</v>
      </c>
      <c r="M1579" s="14" t="s">
        <v>959</v>
      </c>
      <c r="N1579" s="14" t="s">
        <v>33</v>
      </c>
      <c r="O1579" s="14" t="s">
        <v>34</v>
      </c>
      <c r="P1579" s="15" t="s">
        <v>1890</v>
      </c>
      <c r="Q1579" s="16">
        <v>7690</v>
      </c>
      <c r="R1579" s="17">
        <v>45.38</v>
      </c>
      <c r="S1579" s="18">
        <v>4829.9884999999995</v>
      </c>
      <c r="T1579" s="19" t="s">
        <v>36</v>
      </c>
      <c r="U1579" s="20" t="s">
        <v>820</v>
      </c>
      <c r="V1579" s="22">
        <v>36</v>
      </c>
      <c r="W1579" s="22">
        <v>1</v>
      </c>
      <c r="X1579" s="23"/>
    </row>
    <row r="1580" spans="1:24" s="1" customFormat="1" ht="108" customHeight="1" x14ac:dyDescent="0.3">
      <c r="A1580" s="11" t="s">
        <v>23</v>
      </c>
      <c r="B1580" s="11" t="s">
        <v>1891</v>
      </c>
      <c r="C1580" s="12" t="s">
        <v>1892</v>
      </c>
      <c r="D1580" s="25"/>
      <c r="E1580" s="39" t="str">
        <f>HYPERLINK("https://www.google.ru/search?q=3024429-005&amp;newwindow=1&amp;tbm=isch","Еще фото")</f>
        <v>Еще фото</v>
      </c>
      <c r="F1580" s="13"/>
      <c r="G1580" s="11" t="s">
        <v>808</v>
      </c>
      <c r="H1580" s="11" t="s">
        <v>593</v>
      </c>
      <c r="I1580" s="14" t="s">
        <v>1833</v>
      </c>
      <c r="J1580" s="14" t="s">
        <v>892</v>
      </c>
      <c r="K1580" s="15" t="s">
        <v>578</v>
      </c>
      <c r="L1580" s="14" t="s">
        <v>1893</v>
      </c>
      <c r="M1580" s="14"/>
      <c r="N1580" s="14" t="s">
        <v>33</v>
      </c>
      <c r="O1580" s="14" t="s">
        <v>34</v>
      </c>
      <c r="P1580" s="15" t="s">
        <v>1894</v>
      </c>
      <c r="Q1580" s="16">
        <v>18290</v>
      </c>
      <c r="R1580" s="17">
        <v>45.33</v>
      </c>
      <c r="S1580" s="18">
        <v>11499.988499999999</v>
      </c>
      <c r="T1580" s="19" t="s">
        <v>36</v>
      </c>
      <c r="U1580" s="20" t="s">
        <v>944</v>
      </c>
      <c r="V1580" s="22">
        <v>40</v>
      </c>
      <c r="W1580" s="22">
        <v>2</v>
      </c>
      <c r="X1580" s="23"/>
    </row>
    <row r="1581" spans="1:24" s="1" customFormat="1" ht="108" customHeight="1" x14ac:dyDescent="0.3">
      <c r="A1581" s="11" t="s">
        <v>23</v>
      </c>
      <c r="B1581" s="11" t="s">
        <v>1836</v>
      </c>
      <c r="C1581" s="12" t="s">
        <v>1895</v>
      </c>
      <c r="D1581" s="25"/>
      <c r="E1581" s="39" t="str">
        <f>HYPERLINK("https://www.google.ru/search?q=3027593-925&amp;newwindow=1&amp;tbm=isch","Еще фото")</f>
        <v>Еще фото</v>
      </c>
      <c r="F1581" s="13" t="s">
        <v>98</v>
      </c>
      <c r="G1581" s="11" t="s">
        <v>808</v>
      </c>
      <c r="H1581" s="11" t="s">
        <v>593</v>
      </c>
      <c r="I1581" s="14" t="s">
        <v>1833</v>
      </c>
      <c r="J1581" s="14" t="s">
        <v>47</v>
      </c>
      <c r="K1581" s="15" t="s">
        <v>30</v>
      </c>
      <c r="L1581" s="14" t="s">
        <v>1838</v>
      </c>
      <c r="M1581" s="14" t="s">
        <v>824</v>
      </c>
      <c r="N1581" s="14" t="s">
        <v>1896</v>
      </c>
      <c r="O1581" s="14"/>
      <c r="P1581" s="15" t="s">
        <v>597</v>
      </c>
      <c r="Q1581" s="16">
        <v>17699</v>
      </c>
      <c r="R1581" s="17">
        <v>45.19</v>
      </c>
      <c r="S1581" s="18">
        <v>11154.988499999999</v>
      </c>
      <c r="T1581" s="19" t="s">
        <v>36</v>
      </c>
      <c r="U1581" s="20" t="s">
        <v>602</v>
      </c>
      <c r="V1581" s="28">
        <v>41.5</v>
      </c>
      <c r="W1581" s="22">
        <v>3</v>
      </c>
      <c r="X1581" s="23"/>
    </row>
    <row r="1582" spans="1:24" s="1" customFormat="1" ht="108" customHeight="1" x14ac:dyDescent="0.3">
      <c r="A1582" s="11" t="s">
        <v>23</v>
      </c>
      <c r="B1582" s="11" t="s">
        <v>1897</v>
      </c>
      <c r="C1582" s="12" t="s">
        <v>1898</v>
      </c>
      <c r="D1582" s="25"/>
      <c r="E1582" s="39" t="str">
        <f>HYPERLINK("https://www.google.ru/search?q=3027594-873&amp;newwindow=1&amp;tbm=isch","Еще фото")</f>
        <v>Еще фото</v>
      </c>
      <c r="F1582" s="13"/>
      <c r="G1582" s="11" t="s">
        <v>808</v>
      </c>
      <c r="H1582" s="11" t="s">
        <v>593</v>
      </c>
      <c r="I1582" s="14" t="s">
        <v>1833</v>
      </c>
      <c r="J1582" s="14" t="s">
        <v>47</v>
      </c>
      <c r="K1582" s="15" t="s">
        <v>64</v>
      </c>
      <c r="L1582" s="14" t="s">
        <v>1899</v>
      </c>
      <c r="M1582" s="14"/>
      <c r="N1582" s="14" t="s">
        <v>434</v>
      </c>
      <c r="O1582" s="14"/>
      <c r="P1582" s="15" t="s">
        <v>1839</v>
      </c>
      <c r="Q1582" s="16">
        <v>17699</v>
      </c>
      <c r="R1582" s="17">
        <v>45.19</v>
      </c>
      <c r="S1582" s="18">
        <v>11154.988499999999</v>
      </c>
      <c r="T1582" s="19" t="s">
        <v>36</v>
      </c>
      <c r="U1582" s="20" t="s">
        <v>600</v>
      </c>
      <c r="V1582" s="22">
        <v>38</v>
      </c>
      <c r="W1582" s="22">
        <v>1</v>
      </c>
      <c r="X1582" s="23"/>
    </row>
    <row r="1583" spans="1:24" s="1" customFormat="1" ht="108" customHeight="1" x14ac:dyDescent="0.3">
      <c r="A1583" s="11" t="s">
        <v>23</v>
      </c>
      <c r="B1583" s="11" t="s">
        <v>1900</v>
      </c>
      <c r="C1583" s="12" t="s">
        <v>1901</v>
      </c>
      <c r="D1583" s="25"/>
      <c r="E1583" s="39" t="str">
        <f>HYPERLINK("https://www.google.ru/search?q=6000902-100&amp;newwindow=1&amp;tbm=isch","Еще фото")</f>
        <v>Еще фото</v>
      </c>
      <c r="F1583" s="13"/>
      <c r="G1583" s="11" t="s">
        <v>808</v>
      </c>
      <c r="H1583" s="11" t="s">
        <v>593</v>
      </c>
      <c r="I1583" s="14" t="s">
        <v>1833</v>
      </c>
      <c r="J1583" s="14" t="s">
        <v>47</v>
      </c>
      <c r="K1583" s="15" t="s">
        <v>578</v>
      </c>
      <c r="L1583" s="14" t="s">
        <v>1902</v>
      </c>
      <c r="M1583" s="14" t="s">
        <v>824</v>
      </c>
      <c r="N1583" s="14" t="s">
        <v>74</v>
      </c>
      <c r="O1583" s="14"/>
      <c r="P1583" s="15" t="s">
        <v>1367</v>
      </c>
      <c r="Q1583" s="16">
        <v>17699</v>
      </c>
      <c r="R1583" s="17">
        <v>45.19</v>
      </c>
      <c r="S1583" s="18">
        <v>11154.988499999999</v>
      </c>
      <c r="T1583" s="19" t="s">
        <v>36</v>
      </c>
      <c r="U1583" s="20" t="s">
        <v>879</v>
      </c>
      <c r="V1583" s="22">
        <v>44</v>
      </c>
      <c r="W1583" s="22">
        <v>1</v>
      </c>
      <c r="X1583" s="23"/>
    </row>
    <row r="1584" spans="1:24" s="1" customFormat="1" ht="108" customHeight="1" x14ac:dyDescent="0.3">
      <c r="A1584" s="11" t="s">
        <v>23</v>
      </c>
      <c r="B1584" s="11" t="s">
        <v>1903</v>
      </c>
      <c r="C1584" s="12" t="s">
        <v>1904</v>
      </c>
      <c r="D1584" s="25"/>
      <c r="E1584" s="39" t="str">
        <f>HYPERLINK("https://www.google.ru/search?q=6005284-104&amp;newwindow=1&amp;tbm=isch","Еще фото")</f>
        <v>Еще фото</v>
      </c>
      <c r="F1584" s="13" t="s">
        <v>98</v>
      </c>
      <c r="G1584" s="11" t="s">
        <v>808</v>
      </c>
      <c r="H1584" s="11" t="s">
        <v>593</v>
      </c>
      <c r="I1584" s="14" t="s">
        <v>1833</v>
      </c>
      <c r="J1584" s="14" t="s">
        <v>47</v>
      </c>
      <c r="K1584" s="15" t="s">
        <v>578</v>
      </c>
      <c r="L1584" s="14" t="s">
        <v>1905</v>
      </c>
      <c r="M1584" s="14"/>
      <c r="N1584" s="14" t="s">
        <v>74</v>
      </c>
      <c r="O1584" s="14"/>
      <c r="P1584" s="15" t="s">
        <v>1906</v>
      </c>
      <c r="Q1584" s="16">
        <v>15299</v>
      </c>
      <c r="R1584" s="17">
        <v>45.09</v>
      </c>
      <c r="S1584" s="18">
        <v>9659.9884999999995</v>
      </c>
      <c r="T1584" s="19" t="s">
        <v>36</v>
      </c>
      <c r="U1584" s="20" t="s">
        <v>1345</v>
      </c>
      <c r="V1584" s="22">
        <v>36</v>
      </c>
      <c r="W1584" s="22">
        <v>3</v>
      </c>
      <c r="X1584" s="23"/>
    </row>
    <row r="1585" spans="1:24" s="1" customFormat="1" ht="51.95" customHeight="1" x14ac:dyDescent="0.3">
      <c r="A1585" s="11" t="s">
        <v>23</v>
      </c>
      <c r="B1585" s="11" t="s">
        <v>1907</v>
      </c>
      <c r="C1585" s="12" t="s">
        <v>1908</v>
      </c>
      <c r="D1585" s="59"/>
      <c r="E1585" s="39" t="str">
        <f>HYPERLINK("https://www.google.ru/search?q=3027595-123&amp;newwindow=1&amp;tbm=isch","Еще фото")</f>
        <v>Еще фото</v>
      </c>
      <c r="F1585" s="13" t="s">
        <v>98</v>
      </c>
      <c r="G1585" s="11" t="s">
        <v>808</v>
      </c>
      <c r="H1585" s="11" t="s">
        <v>593</v>
      </c>
      <c r="I1585" s="14" t="s">
        <v>1833</v>
      </c>
      <c r="J1585" s="14" t="s">
        <v>47</v>
      </c>
      <c r="K1585" s="15" t="s">
        <v>578</v>
      </c>
      <c r="L1585" s="56" t="s">
        <v>1909</v>
      </c>
      <c r="M1585" s="14" t="s">
        <v>824</v>
      </c>
      <c r="N1585" s="14" t="s">
        <v>1910</v>
      </c>
      <c r="O1585" s="14"/>
      <c r="P1585" s="15" t="s">
        <v>1911</v>
      </c>
      <c r="Q1585" s="16">
        <v>17099</v>
      </c>
      <c r="R1585" s="17">
        <v>45.03</v>
      </c>
      <c r="S1585" s="18">
        <v>10809.988499999999</v>
      </c>
      <c r="T1585" s="19" t="s">
        <v>36</v>
      </c>
      <c r="U1585" s="20" t="s">
        <v>1345</v>
      </c>
      <c r="V1585" s="22">
        <v>36</v>
      </c>
      <c r="W1585" s="22">
        <v>2</v>
      </c>
      <c r="X1585" s="23"/>
    </row>
    <row r="1586" spans="1:24" s="1" customFormat="1" ht="60.95" customHeight="1" x14ac:dyDescent="0.3">
      <c r="A1586" s="24" t="s">
        <v>23</v>
      </c>
      <c r="B1586" s="24" t="s">
        <v>1907</v>
      </c>
      <c r="C1586" s="12" t="s">
        <v>1908</v>
      </c>
      <c r="D1586" s="60"/>
      <c r="E1586" s="39" t="str">
        <f>HYPERLINK("https://www.google.ru/search?q=3027595-123&amp;newwindow=1&amp;tbm=isch","Еще фото")</f>
        <v>Еще фото</v>
      </c>
      <c r="F1586" s="13" t="s">
        <v>98</v>
      </c>
      <c r="G1586" s="24" t="s">
        <v>808</v>
      </c>
      <c r="H1586" s="24" t="s">
        <v>593</v>
      </c>
      <c r="I1586" s="24" t="s">
        <v>1833</v>
      </c>
      <c r="J1586" s="14" t="s">
        <v>47</v>
      </c>
      <c r="K1586" s="15" t="s">
        <v>578</v>
      </c>
      <c r="L1586" s="58"/>
      <c r="M1586" s="14" t="s">
        <v>824</v>
      </c>
      <c r="N1586" s="14" t="s">
        <v>1910</v>
      </c>
      <c r="O1586" s="14"/>
      <c r="P1586" s="15" t="s">
        <v>1911</v>
      </c>
      <c r="Q1586" s="16">
        <v>17099</v>
      </c>
      <c r="R1586" s="17">
        <v>45.03</v>
      </c>
      <c r="S1586" s="18">
        <v>10809.988499999999</v>
      </c>
      <c r="T1586" s="19" t="s">
        <v>36</v>
      </c>
      <c r="U1586" s="20" t="s">
        <v>1912</v>
      </c>
      <c r="V1586" s="28">
        <v>37.5</v>
      </c>
      <c r="W1586" s="22">
        <v>2</v>
      </c>
      <c r="X1586" s="23"/>
    </row>
    <row r="1587" spans="1:24" s="1" customFormat="1" ht="51.95" customHeight="1" x14ac:dyDescent="0.3">
      <c r="A1587" s="11" t="s">
        <v>23</v>
      </c>
      <c r="B1587" s="11" t="s">
        <v>1913</v>
      </c>
      <c r="C1587" s="12" t="s">
        <v>1914</v>
      </c>
      <c r="D1587" s="59"/>
      <c r="E1587" s="39" t="str">
        <f>HYPERLINK("https://www.google.ru/search?q=3022946-100&amp;newwindow=1&amp;tbm=isch","Еще фото")</f>
        <v>Еще фото</v>
      </c>
      <c r="F1587" s="13" t="s">
        <v>310</v>
      </c>
      <c r="G1587" s="11" t="s">
        <v>808</v>
      </c>
      <c r="H1587" s="11" t="s">
        <v>593</v>
      </c>
      <c r="I1587" s="14" t="s">
        <v>1833</v>
      </c>
      <c r="J1587" s="14" t="s">
        <v>47</v>
      </c>
      <c r="K1587" s="15" t="s">
        <v>578</v>
      </c>
      <c r="L1587" s="56" t="s">
        <v>1915</v>
      </c>
      <c r="M1587" s="14" t="s">
        <v>824</v>
      </c>
      <c r="N1587" s="14" t="s">
        <v>74</v>
      </c>
      <c r="O1587" s="14"/>
      <c r="P1587" s="15" t="s">
        <v>1916</v>
      </c>
      <c r="Q1587" s="16">
        <v>23199</v>
      </c>
      <c r="R1587" s="17">
        <v>40</v>
      </c>
      <c r="S1587" s="18">
        <v>16007.309999999998</v>
      </c>
      <c r="T1587" s="19" t="s">
        <v>36</v>
      </c>
      <c r="U1587" s="20" t="s">
        <v>945</v>
      </c>
      <c r="V1587" s="22">
        <v>41</v>
      </c>
      <c r="W1587" s="22">
        <v>1</v>
      </c>
      <c r="X1587" s="23"/>
    </row>
    <row r="1588" spans="1:24" s="1" customFormat="1" ht="60.95" customHeight="1" x14ac:dyDescent="0.3">
      <c r="A1588" s="24" t="s">
        <v>23</v>
      </c>
      <c r="B1588" s="24" t="s">
        <v>1913</v>
      </c>
      <c r="C1588" s="12" t="s">
        <v>1914</v>
      </c>
      <c r="D1588" s="60"/>
      <c r="E1588" s="39" t="str">
        <f>HYPERLINK("https://www.google.ru/search?q=3022946-100&amp;newwindow=1&amp;tbm=isch","Еще фото")</f>
        <v>Еще фото</v>
      </c>
      <c r="F1588" s="13" t="s">
        <v>310</v>
      </c>
      <c r="G1588" s="24" t="s">
        <v>808</v>
      </c>
      <c r="H1588" s="24" t="s">
        <v>593</v>
      </c>
      <c r="I1588" s="24" t="s">
        <v>1833</v>
      </c>
      <c r="J1588" s="14" t="s">
        <v>47</v>
      </c>
      <c r="K1588" s="15" t="s">
        <v>578</v>
      </c>
      <c r="L1588" s="58"/>
      <c r="M1588" s="14" t="s">
        <v>824</v>
      </c>
      <c r="N1588" s="14" t="s">
        <v>74</v>
      </c>
      <c r="O1588" s="14"/>
      <c r="P1588" s="15" t="s">
        <v>1916</v>
      </c>
      <c r="Q1588" s="16">
        <v>23199</v>
      </c>
      <c r="R1588" s="17">
        <v>40</v>
      </c>
      <c r="S1588" s="18">
        <v>16007.309999999998</v>
      </c>
      <c r="T1588" s="19" t="s">
        <v>36</v>
      </c>
      <c r="U1588" s="20" t="s">
        <v>880</v>
      </c>
      <c r="V1588" s="28">
        <v>44.5</v>
      </c>
      <c r="W1588" s="22">
        <v>1</v>
      </c>
      <c r="X1588" s="23"/>
    </row>
    <row r="1589" spans="1:24" s="1" customFormat="1" ht="108" customHeight="1" x14ac:dyDescent="0.3">
      <c r="A1589" s="11" t="s">
        <v>23</v>
      </c>
      <c r="B1589" s="11" t="s">
        <v>1917</v>
      </c>
      <c r="C1589" s="12" t="s">
        <v>1918</v>
      </c>
      <c r="D1589" s="25"/>
      <c r="E1589" s="39" t="str">
        <f>HYPERLINK("https://www.google.ru/search?q=3024274-401&amp;newwindow=1&amp;tbm=isch","Еще фото")</f>
        <v>Еще фото</v>
      </c>
      <c r="F1589" s="13"/>
      <c r="G1589" s="11" t="s">
        <v>808</v>
      </c>
      <c r="H1589" s="11" t="s">
        <v>593</v>
      </c>
      <c r="I1589" s="14" t="s">
        <v>1833</v>
      </c>
      <c r="J1589" s="14" t="s">
        <v>47</v>
      </c>
      <c r="K1589" s="15" t="s">
        <v>64</v>
      </c>
      <c r="L1589" s="14" t="s">
        <v>1842</v>
      </c>
      <c r="M1589" s="14" t="s">
        <v>824</v>
      </c>
      <c r="N1589" s="14" t="s">
        <v>91</v>
      </c>
      <c r="O1589" s="14" t="s">
        <v>34</v>
      </c>
      <c r="P1589" s="15" t="s">
        <v>1919</v>
      </c>
      <c r="Q1589" s="16">
        <v>17299</v>
      </c>
      <c r="R1589" s="17">
        <v>40</v>
      </c>
      <c r="S1589" s="18">
        <v>11936.31</v>
      </c>
      <c r="T1589" s="19" t="s">
        <v>36</v>
      </c>
      <c r="U1589" s="20" t="s">
        <v>814</v>
      </c>
      <c r="V1589" s="28">
        <v>36.5</v>
      </c>
      <c r="W1589" s="22">
        <v>1</v>
      </c>
      <c r="X1589" s="23"/>
    </row>
    <row r="1590" spans="1:24" s="1" customFormat="1" ht="35.1" customHeight="1" x14ac:dyDescent="0.3">
      <c r="A1590" s="11" t="s">
        <v>23</v>
      </c>
      <c r="B1590" s="11" t="s">
        <v>1920</v>
      </c>
      <c r="C1590" s="12" t="s">
        <v>1921</v>
      </c>
      <c r="D1590" s="53"/>
      <c r="E1590" s="39" t="str">
        <f>HYPERLINK("https://www.google.ru/search?q=3024968-003&amp;newwindow=1&amp;tbm=isch","Еще фото")</f>
        <v>Еще фото</v>
      </c>
      <c r="F1590" s="13"/>
      <c r="G1590" s="11" t="s">
        <v>808</v>
      </c>
      <c r="H1590" s="11" t="s">
        <v>593</v>
      </c>
      <c r="I1590" s="14" t="s">
        <v>1833</v>
      </c>
      <c r="J1590" s="14" t="s">
        <v>47</v>
      </c>
      <c r="K1590" s="15" t="s">
        <v>578</v>
      </c>
      <c r="L1590" s="56" t="s">
        <v>1922</v>
      </c>
      <c r="M1590" s="14" t="s">
        <v>888</v>
      </c>
      <c r="N1590" s="14" t="s">
        <v>33</v>
      </c>
      <c r="O1590" s="14"/>
      <c r="P1590" s="15" t="s">
        <v>1923</v>
      </c>
      <c r="Q1590" s="16">
        <v>12490</v>
      </c>
      <c r="R1590" s="17">
        <v>40</v>
      </c>
      <c r="S1590" s="18">
        <v>8618.0999999999985</v>
      </c>
      <c r="T1590" s="19" t="s">
        <v>36</v>
      </c>
      <c r="U1590" s="20" t="s">
        <v>945</v>
      </c>
      <c r="V1590" s="22">
        <v>41</v>
      </c>
      <c r="W1590" s="22">
        <v>1</v>
      </c>
      <c r="X1590" s="23"/>
    </row>
    <row r="1591" spans="1:24" s="1" customFormat="1" ht="35.1" customHeight="1" x14ac:dyDescent="0.3">
      <c r="A1591" s="24" t="s">
        <v>23</v>
      </c>
      <c r="B1591" s="24" t="s">
        <v>1920</v>
      </c>
      <c r="C1591" s="12" t="s">
        <v>1921</v>
      </c>
      <c r="D1591" s="54"/>
      <c r="E1591" s="39" t="str">
        <f>HYPERLINK("https://www.google.ru/search?q=3024968-003&amp;newwindow=1&amp;tbm=isch","Еще фото")</f>
        <v>Еще фото</v>
      </c>
      <c r="F1591" s="13"/>
      <c r="G1591" s="24" t="s">
        <v>808</v>
      </c>
      <c r="H1591" s="24" t="s">
        <v>593</v>
      </c>
      <c r="I1591" s="24" t="s">
        <v>1833</v>
      </c>
      <c r="J1591" s="14" t="s">
        <v>47</v>
      </c>
      <c r="K1591" s="15" t="s">
        <v>578</v>
      </c>
      <c r="L1591" s="57"/>
      <c r="M1591" s="14" t="s">
        <v>888</v>
      </c>
      <c r="N1591" s="14" t="s">
        <v>33</v>
      </c>
      <c r="O1591" s="14"/>
      <c r="P1591" s="15" t="s">
        <v>1923</v>
      </c>
      <c r="Q1591" s="16">
        <v>12490</v>
      </c>
      <c r="R1591" s="17">
        <v>40</v>
      </c>
      <c r="S1591" s="18">
        <v>8618.0999999999985</v>
      </c>
      <c r="T1591" s="19" t="s">
        <v>36</v>
      </c>
      <c r="U1591" s="20" t="s">
        <v>876</v>
      </c>
      <c r="V1591" s="22">
        <v>42</v>
      </c>
      <c r="W1591" s="22">
        <v>1</v>
      </c>
      <c r="X1591" s="23"/>
    </row>
    <row r="1592" spans="1:24" s="1" customFormat="1" ht="36.950000000000003" customHeight="1" x14ac:dyDescent="0.3">
      <c r="A1592" s="24" t="s">
        <v>23</v>
      </c>
      <c r="B1592" s="24" t="s">
        <v>1920</v>
      </c>
      <c r="C1592" s="12" t="s">
        <v>1921</v>
      </c>
      <c r="D1592" s="55"/>
      <c r="E1592" s="39" t="str">
        <f>HYPERLINK("https://www.google.ru/search?q=3024968-003&amp;newwindow=1&amp;tbm=isch","Еще фото")</f>
        <v>Еще фото</v>
      </c>
      <c r="F1592" s="13"/>
      <c r="G1592" s="24" t="s">
        <v>808</v>
      </c>
      <c r="H1592" s="24" t="s">
        <v>593</v>
      </c>
      <c r="I1592" s="24" t="s">
        <v>1833</v>
      </c>
      <c r="J1592" s="14" t="s">
        <v>47</v>
      </c>
      <c r="K1592" s="15" t="s">
        <v>578</v>
      </c>
      <c r="L1592" s="58"/>
      <c r="M1592" s="14" t="s">
        <v>888</v>
      </c>
      <c r="N1592" s="14" t="s">
        <v>33</v>
      </c>
      <c r="O1592" s="14"/>
      <c r="P1592" s="15" t="s">
        <v>1923</v>
      </c>
      <c r="Q1592" s="16">
        <v>12490</v>
      </c>
      <c r="R1592" s="17">
        <v>40</v>
      </c>
      <c r="S1592" s="18">
        <v>8618.0999999999985</v>
      </c>
      <c r="T1592" s="19" t="s">
        <v>36</v>
      </c>
      <c r="U1592" s="20" t="s">
        <v>878</v>
      </c>
      <c r="V1592" s="28">
        <v>43.5</v>
      </c>
      <c r="W1592" s="22">
        <v>1</v>
      </c>
      <c r="X1592" s="23"/>
    </row>
    <row r="1593" spans="1:24" s="1" customFormat="1" ht="108" customHeight="1" x14ac:dyDescent="0.3">
      <c r="A1593" s="11" t="s">
        <v>23</v>
      </c>
      <c r="B1593" s="11" t="s">
        <v>1924</v>
      </c>
      <c r="C1593" s="12" t="s">
        <v>1925</v>
      </c>
      <c r="D1593" s="25"/>
      <c r="E1593" s="39" t="str">
        <f>HYPERLINK("https://www.google.ru/search?q=3026770-600&amp;newwindow=1&amp;tbm=isch","Еще фото")</f>
        <v>Еще фото</v>
      </c>
      <c r="F1593" s="13"/>
      <c r="G1593" s="11" t="s">
        <v>808</v>
      </c>
      <c r="H1593" s="11" t="s">
        <v>593</v>
      </c>
      <c r="I1593" s="14" t="s">
        <v>1833</v>
      </c>
      <c r="J1593" s="14" t="s">
        <v>47</v>
      </c>
      <c r="K1593" s="15" t="s">
        <v>578</v>
      </c>
      <c r="L1593" s="14" t="s">
        <v>1926</v>
      </c>
      <c r="M1593" s="14"/>
      <c r="N1593" s="14" t="s">
        <v>140</v>
      </c>
      <c r="O1593" s="14"/>
      <c r="P1593" s="15" t="s">
        <v>1927</v>
      </c>
      <c r="Q1593" s="16">
        <v>17699</v>
      </c>
      <c r="R1593" s="17">
        <v>40</v>
      </c>
      <c r="S1593" s="18">
        <v>12212.31</v>
      </c>
      <c r="T1593" s="19" t="s">
        <v>36</v>
      </c>
      <c r="U1593" s="20" t="s">
        <v>1848</v>
      </c>
      <c r="V1593" s="22">
        <v>45</v>
      </c>
      <c r="W1593" s="22">
        <v>1</v>
      </c>
      <c r="X1593" s="23"/>
    </row>
    <row r="1594" spans="1:24" s="1" customFormat="1" ht="108" customHeight="1" x14ac:dyDescent="0.3">
      <c r="A1594" s="11" t="s">
        <v>23</v>
      </c>
      <c r="B1594" s="11" t="s">
        <v>1836</v>
      </c>
      <c r="C1594" s="12" t="s">
        <v>1928</v>
      </c>
      <c r="D1594" s="25"/>
      <c r="E1594" s="39" t="str">
        <f>HYPERLINK("https://www.google.ru/search?q=3027593-001&amp;newwindow=1&amp;tbm=isch","Еще фото")</f>
        <v>Еще фото</v>
      </c>
      <c r="F1594" s="13"/>
      <c r="G1594" s="11" t="s">
        <v>808</v>
      </c>
      <c r="H1594" s="11" t="s">
        <v>593</v>
      </c>
      <c r="I1594" s="14" t="s">
        <v>1833</v>
      </c>
      <c r="J1594" s="14" t="s">
        <v>47</v>
      </c>
      <c r="K1594" s="15" t="s">
        <v>30</v>
      </c>
      <c r="L1594" s="14" t="s">
        <v>1838</v>
      </c>
      <c r="M1594" s="14" t="s">
        <v>824</v>
      </c>
      <c r="N1594" s="14" t="s">
        <v>33</v>
      </c>
      <c r="O1594" s="14"/>
      <c r="P1594" s="15" t="s">
        <v>597</v>
      </c>
      <c r="Q1594" s="16">
        <v>17499</v>
      </c>
      <c r="R1594" s="17">
        <v>40</v>
      </c>
      <c r="S1594" s="18">
        <v>12074.31</v>
      </c>
      <c r="T1594" s="19" t="s">
        <v>36</v>
      </c>
      <c r="U1594" s="20" t="s">
        <v>600</v>
      </c>
      <c r="V1594" s="22">
        <v>40</v>
      </c>
      <c r="W1594" s="22">
        <v>1</v>
      </c>
      <c r="X1594" s="23"/>
    </row>
    <row r="1595" spans="1:24" s="1" customFormat="1" ht="51.95" customHeight="1" x14ac:dyDescent="0.3">
      <c r="A1595" s="11" t="s">
        <v>23</v>
      </c>
      <c r="B1595" s="11" t="s">
        <v>1836</v>
      </c>
      <c r="C1595" s="12" t="s">
        <v>1929</v>
      </c>
      <c r="D1595" s="59"/>
      <c r="E1595" s="39" t="str">
        <f>HYPERLINK("https://www.google.ru/search?q=3027593-105&amp;newwindow=1&amp;tbm=isch","Еще фото")</f>
        <v>Еще фото</v>
      </c>
      <c r="F1595" s="13"/>
      <c r="G1595" s="11" t="s">
        <v>808</v>
      </c>
      <c r="H1595" s="11" t="s">
        <v>593</v>
      </c>
      <c r="I1595" s="14" t="s">
        <v>1833</v>
      </c>
      <c r="J1595" s="14" t="s">
        <v>47</v>
      </c>
      <c r="K1595" s="15" t="s">
        <v>30</v>
      </c>
      <c r="L1595" s="56" t="s">
        <v>1838</v>
      </c>
      <c r="M1595" s="14" t="s">
        <v>824</v>
      </c>
      <c r="N1595" s="14" t="s">
        <v>74</v>
      </c>
      <c r="O1595" s="14"/>
      <c r="P1595" s="15" t="s">
        <v>1839</v>
      </c>
      <c r="Q1595" s="16">
        <v>17699</v>
      </c>
      <c r="R1595" s="17">
        <v>40</v>
      </c>
      <c r="S1595" s="18">
        <v>12212.31</v>
      </c>
      <c r="T1595" s="19" t="s">
        <v>36</v>
      </c>
      <c r="U1595" s="20" t="s">
        <v>601</v>
      </c>
      <c r="V1595" s="22">
        <v>41</v>
      </c>
      <c r="W1595" s="22">
        <v>2</v>
      </c>
      <c r="X1595" s="23"/>
    </row>
    <row r="1596" spans="1:24" s="1" customFormat="1" ht="60.95" customHeight="1" x14ac:dyDescent="0.3">
      <c r="A1596" s="24" t="s">
        <v>23</v>
      </c>
      <c r="B1596" s="24" t="s">
        <v>1836</v>
      </c>
      <c r="C1596" s="12" t="s">
        <v>1929</v>
      </c>
      <c r="D1596" s="60"/>
      <c r="E1596" s="39" t="str">
        <f>HYPERLINK("https://www.google.ru/search?q=3027593-105&amp;newwindow=1&amp;tbm=isch","Еще фото")</f>
        <v>Еще фото</v>
      </c>
      <c r="F1596" s="13"/>
      <c r="G1596" s="24" t="s">
        <v>808</v>
      </c>
      <c r="H1596" s="24" t="s">
        <v>593</v>
      </c>
      <c r="I1596" s="24" t="s">
        <v>1833</v>
      </c>
      <c r="J1596" s="14" t="s">
        <v>47</v>
      </c>
      <c r="K1596" s="15" t="s">
        <v>30</v>
      </c>
      <c r="L1596" s="58"/>
      <c r="M1596" s="14" t="s">
        <v>824</v>
      </c>
      <c r="N1596" s="14" t="s">
        <v>74</v>
      </c>
      <c r="O1596" s="14"/>
      <c r="P1596" s="15" t="s">
        <v>1839</v>
      </c>
      <c r="Q1596" s="16">
        <v>17699</v>
      </c>
      <c r="R1596" s="17">
        <v>40</v>
      </c>
      <c r="S1596" s="18">
        <v>12212.31</v>
      </c>
      <c r="T1596" s="19" t="s">
        <v>36</v>
      </c>
      <c r="U1596" s="20" t="s">
        <v>602</v>
      </c>
      <c r="V1596" s="28">
        <v>41.5</v>
      </c>
      <c r="W1596" s="22">
        <v>6</v>
      </c>
      <c r="X1596" s="23"/>
    </row>
    <row r="1597" spans="1:24" s="1" customFormat="1" ht="26.1" customHeight="1" x14ac:dyDescent="0.3">
      <c r="A1597" s="11" t="s">
        <v>23</v>
      </c>
      <c r="B1597" s="11" t="s">
        <v>1897</v>
      </c>
      <c r="C1597" s="12" t="s">
        <v>1930</v>
      </c>
      <c r="D1597" s="53"/>
      <c r="E1597" s="39" t="str">
        <f>HYPERLINK("https://www.google.ru/search?q=3027594-011&amp;newwindow=1&amp;tbm=isch","Еще фото")</f>
        <v>Еще фото</v>
      </c>
      <c r="F1597" s="13"/>
      <c r="G1597" s="11" t="s">
        <v>808</v>
      </c>
      <c r="H1597" s="11" t="s">
        <v>593</v>
      </c>
      <c r="I1597" s="14" t="s">
        <v>1833</v>
      </c>
      <c r="J1597" s="14" t="s">
        <v>47</v>
      </c>
      <c r="K1597" s="15" t="s">
        <v>64</v>
      </c>
      <c r="L1597" s="56" t="s">
        <v>1899</v>
      </c>
      <c r="M1597" s="14" t="s">
        <v>824</v>
      </c>
      <c r="N1597" s="14" t="s">
        <v>84</v>
      </c>
      <c r="O1597" s="14"/>
      <c r="P1597" s="15" t="s">
        <v>1839</v>
      </c>
      <c r="Q1597" s="16">
        <v>17699</v>
      </c>
      <c r="R1597" s="17">
        <v>40</v>
      </c>
      <c r="S1597" s="18">
        <v>12212.31</v>
      </c>
      <c r="T1597" s="19" t="s">
        <v>36</v>
      </c>
      <c r="U1597" s="20" t="s">
        <v>599</v>
      </c>
      <c r="V1597" s="28">
        <v>37.5</v>
      </c>
      <c r="W1597" s="22">
        <v>1</v>
      </c>
      <c r="X1597" s="23"/>
    </row>
    <row r="1598" spans="1:24" s="1" customFormat="1" ht="26.1" customHeight="1" x14ac:dyDescent="0.3">
      <c r="A1598" s="24" t="s">
        <v>23</v>
      </c>
      <c r="B1598" s="24" t="s">
        <v>1897</v>
      </c>
      <c r="C1598" s="12" t="s">
        <v>1930</v>
      </c>
      <c r="D1598" s="54"/>
      <c r="E1598" s="39" t="str">
        <f>HYPERLINK("https://www.google.ru/search?q=3027594-011&amp;newwindow=1&amp;tbm=isch","Еще фото")</f>
        <v>Еще фото</v>
      </c>
      <c r="F1598" s="13"/>
      <c r="G1598" s="24" t="s">
        <v>808</v>
      </c>
      <c r="H1598" s="24" t="s">
        <v>593</v>
      </c>
      <c r="I1598" s="24" t="s">
        <v>1833</v>
      </c>
      <c r="J1598" s="14" t="s">
        <v>47</v>
      </c>
      <c r="K1598" s="15" t="s">
        <v>64</v>
      </c>
      <c r="L1598" s="57"/>
      <c r="M1598" s="14" t="s">
        <v>824</v>
      </c>
      <c r="N1598" s="14" t="s">
        <v>84</v>
      </c>
      <c r="O1598" s="14"/>
      <c r="P1598" s="15" t="s">
        <v>1839</v>
      </c>
      <c r="Q1598" s="16">
        <v>17699</v>
      </c>
      <c r="R1598" s="17">
        <v>40</v>
      </c>
      <c r="S1598" s="18">
        <v>12212.31</v>
      </c>
      <c r="T1598" s="19" t="s">
        <v>36</v>
      </c>
      <c r="U1598" s="20" t="s">
        <v>600</v>
      </c>
      <c r="V1598" s="22">
        <v>38</v>
      </c>
      <c r="W1598" s="22">
        <v>3</v>
      </c>
      <c r="X1598" s="23"/>
    </row>
    <row r="1599" spans="1:24" s="1" customFormat="1" ht="26.1" customHeight="1" x14ac:dyDescent="0.3">
      <c r="A1599" s="24" t="s">
        <v>23</v>
      </c>
      <c r="B1599" s="24" t="s">
        <v>1897</v>
      </c>
      <c r="C1599" s="12" t="s">
        <v>1930</v>
      </c>
      <c r="D1599" s="54"/>
      <c r="E1599" s="39" t="str">
        <f>HYPERLINK("https://www.google.ru/search?q=3027594-011&amp;newwindow=1&amp;tbm=isch","Еще фото")</f>
        <v>Еще фото</v>
      </c>
      <c r="F1599" s="13"/>
      <c r="G1599" s="24" t="s">
        <v>808</v>
      </c>
      <c r="H1599" s="24" t="s">
        <v>593</v>
      </c>
      <c r="I1599" s="24" t="s">
        <v>1833</v>
      </c>
      <c r="J1599" s="14" t="s">
        <v>47</v>
      </c>
      <c r="K1599" s="15" t="s">
        <v>64</v>
      </c>
      <c r="L1599" s="57"/>
      <c r="M1599" s="14" t="s">
        <v>824</v>
      </c>
      <c r="N1599" s="14" t="s">
        <v>84</v>
      </c>
      <c r="O1599" s="14"/>
      <c r="P1599" s="15" t="s">
        <v>1839</v>
      </c>
      <c r="Q1599" s="16">
        <v>17699</v>
      </c>
      <c r="R1599" s="17">
        <v>40</v>
      </c>
      <c r="S1599" s="18">
        <v>12212.31</v>
      </c>
      <c r="T1599" s="19" t="s">
        <v>36</v>
      </c>
      <c r="U1599" s="20" t="s">
        <v>601</v>
      </c>
      <c r="V1599" s="22">
        <v>39</v>
      </c>
      <c r="W1599" s="22">
        <v>1</v>
      </c>
      <c r="X1599" s="23"/>
    </row>
    <row r="1600" spans="1:24" s="1" customFormat="1" ht="26.1" customHeight="1" x14ac:dyDescent="0.3">
      <c r="A1600" s="24" t="s">
        <v>23</v>
      </c>
      <c r="B1600" s="24" t="s">
        <v>1897</v>
      </c>
      <c r="C1600" s="12" t="s">
        <v>1930</v>
      </c>
      <c r="D1600" s="55"/>
      <c r="E1600" s="39" t="str">
        <f>HYPERLINK("https://www.google.ru/search?q=3027594-011&amp;newwindow=1&amp;tbm=isch","Еще фото")</f>
        <v>Еще фото</v>
      </c>
      <c r="F1600" s="13"/>
      <c r="G1600" s="24" t="s">
        <v>808</v>
      </c>
      <c r="H1600" s="24" t="s">
        <v>593</v>
      </c>
      <c r="I1600" s="24" t="s">
        <v>1833</v>
      </c>
      <c r="J1600" s="14" t="s">
        <v>47</v>
      </c>
      <c r="K1600" s="15" t="s">
        <v>64</v>
      </c>
      <c r="L1600" s="58"/>
      <c r="M1600" s="14" t="s">
        <v>824</v>
      </c>
      <c r="N1600" s="14" t="s">
        <v>84</v>
      </c>
      <c r="O1600" s="14"/>
      <c r="P1600" s="15" t="s">
        <v>1839</v>
      </c>
      <c r="Q1600" s="16">
        <v>17699</v>
      </c>
      <c r="R1600" s="17">
        <v>40</v>
      </c>
      <c r="S1600" s="18">
        <v>12212.31</v>
      </c>
      <c r="T1600" s="19" t="s">
        <v>36</v>
      </c>
      <c r="U1600" s="20" t="s">
        <v>603</v>
      </c>
      <c r="V1600" s="22">
        <v>40</v>
      </c>
      <c r="W1600" s="22">
        <v>1</v>
      </c>
      <c r="X1600" s="23"/>
    </row>
    <row r="1601" spans="1:24" s="1" customFormat="1" ht="12.95" customHeight="1" x14ac:dyDescent="0.3">
      <c r="A1601" s="11" t="s">
        <v>23</v>
      </c>
      <c r="B1601" s="11" t="s">
        <v>1907</v>
      </c>
      <c r="C1601" s="12" t="s">
        <v>1931</v>
      </c>
      <c r="D1601" s="53"/>
      <c r="E1601" s="39" t="str">
        <f t="shared" ref="E1601:E1608" si="43">HYPERLINK("https://www.google.ru/search?q=3027595-100&amp;newwindow=1&amp;tbm=isch","Еще фото")</f>
        <v>Еще фото</v>
      </c>
      <c r="F1601" s="13" t="s">
        <v>310</v>
      </c>
      <c r="G1601" s="11" t="s">
        <v>808</v>
      </c>
      <c r="H1601" s="11" t="s">
        <v>593</v>
      </c>
      <c r="I1601" s="14" t="s">
        <v>1833</v>
      </c>
      <c r="J1601" s="14" t="s">
        <v>47</v>
      </c>
      <c r="K1601" s="15" t="s">
        <v>578</v>
      </c>
      <c r="L1601" s="56" t="s">
        <v>1909</v>
      </c>
      <c r="M1601" s="14" t="s">
        <v>824</v>
      </c>
      <c r="N1601" s="14" t="s">
        <v>84</v>
      </c>
      <c r="O1601" s="14"/>
      <c r="P1601" s="15" t="s">
        <v>1121</v>
      </c>
      <c r="Q1601" s="16">
        <v>17099</v>
      </c>
      <c r="R1601" s="17">
        <v>40</v>
      </c>
      <c r="S1601" s="18">
        <v>11798.31</v>
      </c>
      <c r="T1601" s="19" t="s">
        <v>36</v>
      </c>
      <c r="U1601" s="35" t="s">
        <v>1912</v>
      </c>
      <c r="V1601" s="28">
        <v>37.5</v>
      </c>
      <c r="W1601" s="22">
        <v>1</v>
      </c>
      <c r="X1601" s="23"/>
    </row>
    <row r="1602" spans="1:24" s="1" customFormat="1" ht="12.95" customHeight="1" x14ac:dyDescent="0.3">
      <c r="A1602" s="24" t="s">
        <v>23</v>
      </c>
      <c r="B1602" s="24" t="s">
        <v>1907</v>
      </c>
      <c r="C1602" s="12" t="s">
        <v>1931</v>
      </c>
      <c r="D1602" s="54"/>
      <c r="E1602" s="39" t="str">
        <f t="shared" si="43"/>
        <v>Еще фото</v>
      </c>
      <c r="F1602" s="13" t="s">
        <v>310</v>
      </c>
      <c r="G1602" s="24" t="s">
        <v>808</v>
      </c>
      <c r="H1602" s="24" t="s">
        <v>593</v>
      </c>
      <c r="I1602" s="24" t="s">
        <v>1833</v>
      </c>
      <c r="J1602" s="14" t="s">
        <v>47</v>
      </c>
      <c r="K1602" s="15" t="s">
        <v>578</v>
      </c>
      <c r="L1602" s="57"/>
      <c r="M1602" s="14" t="s">
        <v>824</v>
      </c>
      <c r="N1602" s="14" t="s">
        <v>84</v>
      </c>
      <c r="O1602" s="14"/>
      <c r="P1602" s="15" t="s">
        <v>1121</v>
      </c>
      <c r="Q1602" s="16">
        <v>17099</v>
      </c>
      <c r="R1602" s="17">
        <v>40</v>
      </c>
      <c r="S1602" s="18">
        <v>11798.31</v>
      </c>
      <c r="T1602" s="19" t="s">
        <v>36</v>
      </c>
      <c r="U1602" s="20" t="s">
        <v>945</v>
      </c>
      <c r="V1602" s="22">
        <v>41</v>
      </c>
      <c r="W1602" s="22">
        <v>3</v>
      </c>
      <c r="X1602" s="23"/>
    </row>
    <row r="1603" spans="1:24" s="1" customFormat="1" ht="12.95" customHeight="1" x14ac:dyDescent="0.3">
      <c r="A1603" s="24" t="s">
        <v>23</v>
      </c>
      <c r="B1603" s="24" t="s">
        <v>1907</v>
      </c>
      <c r="C1603" s="12" t="s">
        <v>1931</v>
      </c>
      <c r="D1603" s="54"/>
      <c r="E1603" s="39" t="str">
        <f t="shared" si="43"/>
        <v>Еще фото</v>
      </c>
      <c r="F1603" s="13" t="s">
        <v>310</v>
      </c>
      <c r="G1603" s="24" t="s">
        <v>808</v>
      </c>
      <c r="H1603" s="24" t="s">
        <v>593</v>
      </c>
      <c r="I1603" s="24" t="s">
        <v>1833</v>
      </c>
      <c r="J1603" s="14" t="s">
        <v>47</v>
      </c>
      <c r="K1603" s="15" t="s">
        <v>578</v>
      </c>
      <c r="L1603" s="57"/>
      <c r="M1603" s="14" t="s">
        <v>824</v>
      </c>
      <c r="N1603" s="14" t="s">
        <v>84</v>
      </c>
      <c r="O1603" s="14"/>
      <c r="P1603" s="15" t="s">
        <v>1121</v>
      </c>
      <c r="Q1603" s="16">
        <v>17099</v>
      </c>
      <c r="R1603" s="17">
        <v>40</v>
      </c>
      <c r="S1603" s="18">
        <v>11798.31</v>
      </c>
      <c r="T1603" s="19" t="s">
        <v>36</v>
      </c>
      <c r="U1603" s="20" t="s">
        <v>875</v>
      </c>
      <c r="V1603" s="28">
        <v>41.5</v>
      </c>
      <c r="W1603" s="22">
        <v>14</v>
      </c>
      <c r="X1603" s="23"/>
    </row>
    <row r="1604" spans="1:24" s="1" customFormat="1" ht="12.95" customHeight="1" x14ac:dyDescent="0.3">
      <c r="A1604" s="24" t="s">
        <v>23</v>
      </c>
      <c r="B1604" s="24" t="s">
        <v>1907</v>
      </c>
      <c r="C1604" s="12" t="s">
        <v>1931</v>
      </c>
      <c r="D1604" s="54"/>
      <c r="E1604" s="39" t="str">
        <f t="shared" si="43"/>
        <v>Еще фото</v>
      </c>
      <c r="F1604" s="13" t="s">
        <v>310</v>
      </c>
      <c r="G1604" s="24" t="s">
        <v>808</v>
      </c>
      <c r="H1604" s="24" t="s">
        <v>593</v>
      </c>
      <c r="I1604" s="24" t="s">
        <v>1833</v>
      </c>
      <c r="J1604" s="14" t="s">
        <v>47</v>
      </c>
      <c r="K1604" s="15" t="s">
        <v>578</v>
      </c>
      <c r="L1604" s="57"/>
      <c r="M1604" s="14" t="s">
        <v>824</v>
      </c>
      <c r="N1604" s="14" t="s">
        <v>84</v>
      </c>
      <c r="O1604" s="14"/>
      <c r="P1604" s="15" t="s">
        <v>1121</v>
      </c>
      <c r="Q1604" s="16">
        <v>17099</v>
      </c>
      <c r="R1604" s="17">
        <v>40</v>
      </c>
      <c r="S1604" s="18">
        <v>11798.31</v>
      </c>
      <c r="T1604" s="19" t="s">
        <v>36</v>
      </c>
      <c r="U1604" s="20" t="s">
        <v>876</v>
      </c>
      <c r="V1604" s="22">
        <v>42</v>
      </c>
      <c r="W1604" s="22">
        <v>18</v>
      </c>
      <c r="X1604" s="23"/>
    </row>
    <row r="1605" spans="1:24" s="1" customFormat="1" ht="12.95" customHeight="1" x14ac:dyDescent="0.3">
      <c r="A1605" s="24" t="s">
        <v>23</v>
      </c>
      <c r="B1605" s="24" t="s">
        <v>1907</v>
      </c>
      <c r="C1605" s="12" t="s">
        <v>1931</v>
      </c>
      <c r="D1605" s="54"/>
      <c r="E1605" s="39" t="str">
        <f t="shared" si="43"/>
        <v>Еще фото</v>
      </c>
      <c r="F1605" s="13" t="s">
        <v>310</v>
      </c>
      <c r="G1605" s="24" t="s">
        <v>808</v>
      </c>
      <c r="H1605" s="24" t="s">
        <v>593</v>
      </c>
      <c r="I1605" s="24" t="s">
        <v>1833</v>
      </c>
      <c r="J1605" s="14" t="s">
        <v>47</v>
      </c>
      <c r="K1605" s="15" t="s">
        <v>578</v>
      </c>
      <c r="L1605" s="57"/>
      <c r="M1605" s="14" t="s">
        <v>824</v>
      </c>
      <c r="N1605" s="14" t="s">
        <v>84</v>
      </c>
      <c r="O1605" s="14"/>
      <c r="P1605" s="15" t="s">
        <v>1121</v>
      </c>
      <c r="Q1605" s="16">
        <v>17099</v>
      </c>
      <c r="R1605" s="17">
        <v>40</v>
      </c>
      <c r="S1605" s="18">
        <v>11798.31</v>
      </c>
      <c r="T1605" s="19" t="s">
        <v>36</v>
      </c>
      <c r="U1605" s="20" t="s">
        <v>877</v>
      </c>
      <c r="V1605" s="22">
        <v>43</v>
      </c>
      <c r="W1605" s="22">
        <v>13</v>
      </c>
      <c r="X1605" s="23"/>
    </row>
    <row r="1606" spans="1:24" s="1" customFormat="1" ht="12.95" customHeight="1" x14ac:dyDescent="0.3">
      <c r="A1606" s="24" t="s">
        <v>23</v>
      </c>
      <c r="B1606" s="24" t="s">
        <v>1907</v>
      </c>
      <c r="C1606" s="12" t="s">
        <v>1931</v>
      </c>
      <c r="D1606" s="54"/>
      <c r="E1606" s="39" t="str">
        <f t="shared" si="43"/>
        <v>Еще фото</v>
      </c>
      <c r="F1606" s="13" t="s">
        <v>310</v>
      </c>
      <c r="G1606" s="24" t="s">
        <v>808</v>
      </c>
      <c r="H1606" s="24" t="s">
        <v>593</v>
      </c>
      <c r="I1606" s="24" t="s">
        <v>1833</v>
      </c>
      <c r="J1606" s="14" t="s">
        <v>47</v>
      </c>
      <c r="K1606" s="15" t="s">
        <v>578</v>
      </c>
      <c r="L1606" s="57"/>
      <c r="M1606" s="14" t="s">
        <v>824</v>
      </c>
      <c r="N1606" s="14" t="s">
        <v>84</v>
      </c>
      <c r="O1606" s="14"/>
      <c r="P1606" s="15" t="s">
        <v>1121</v>
      </c>
      <c r="Q1606" s="16">
        <v>17099</v>
      </c>
      <c r="R1606" s="17">
        <v>40</v>
      </c>
      <c r="S1606" s="18">
        <v>11798.31</v>
      </c>
      <c r="T1606" s="19" t="s">
        <v>36</v>
      </c>
      <c r="U1606" s="20" t="s">
        <v>878</v>
      </c>
      <c r="V1606" s="28">
        <v>43.5</v>
      </c>
      <c r="W1606" s="22">
        <v>15</v>
      </c>
      <c r="X1606" s="23"/>
    </row>
    <row r="1607" spans="1:24" s="1" customFormat="1" ht="12.95" customHeight="1" x14ac:dyDescent="0.3">
      <c r="A1607" s="24" t="s">
        <v>23</v>
      </c>
      <c r="B1607" s="24" t="s">
        <v>1907</v>
      </c>
      <c r="C1607" s="12" t="s">
        <v>1931</v>
      </c>
      <c r="D1607" s="54"/>
      <c r="E1607" s="39" t="str">
        <f t="shared" si="43"/>
        <v>Еще фото</v>
      </c>
      <c r="F1607" s="13" t="s">
        <v>310</v>
      </c>
      <c r="G1607" s="24" t="s">
        <v>808</v>
      </c>
      <c r="H1607" s="24" t="s">
        <v>593</v>
      </c>
      <c r="I1607" s="24" t="s">
        <v>1833</v>
      </c>
      <c r="J1607" s="14" t="s">
        <v>47</v>
      </c>
      <c r="K1607" s="15" t="s">
        <v>578</v>
      </c>
      <c r="L1607" s="57"/>
      <c r="M1607" s="14" t="s">
        <v>824</v>
      </c>
      <c r="N1607" s="14" t="s">
        <v>84</v>
      </c>
      <c r="O1607" s="14"/>
      <c r="P1607" s="15" t="s">
        <v>1121</v>
      </c>
      <c r="Q1607" s="16">
        <v>17099</v>
      </c>
      <c r="R1607" s="17">
        <v>40</v>
      </c>
      <c r="S1607" s="18">
        <v>11798.31</v>
      </c>
      <c r="T1607" s="19" t="s">
        <v>36</v>
      </c>
      <c r="U1607" s="20" t="s">
        <v>879</v>
      </c>
      <c r="V1607" s="22">
        <v>44</v>
      </c>
      <c r="W1607" s="22">
        <v>8</v>
      </c>
      <c r="X1607" s="23"/>
    </row>
    <row r="1608" spans="1:24" s="1" customFormat="1" ht="18" customHeight="1" x14ac:dyDescent="0.3">
      <c r="A1608" s="24" t="s">
        <v>23</v>
      </c>
      <c r="B1608" s="24" t="s">
        <v>1907</v>
      </c>
      <c r="C1608" s="12" t="s">
        <v>1931</v>
      </c>
      <c r="D1608" s="55"/>
      <c r="E1608" s="39" t="str">
        <f t="shared" si="43"/>
        <v>Еще фото</v>
      </c>
      <c r="F1608" s="13" t="s">
        <v>310</v>
      </c>
      <c r="G1608" s="24" t="s">
        <v>808</v>
      </c>
      <c r="H1608" s="24" t="s">
        <v>593</v>
      </c>
      <c r="I1608" s="24" t="s">
        <v>1833</v>
      </c>
      <c r="J1608" s="14" t="s">
        <v>47</v>
      </c>
      <c r="K1608" s="15" t="s">
        <v>578</v>
      </c>
      <c r="L1608" s="58"/>
      <c r="M1608" s="14" t="s">
        <v>824</v>
      </c>
      <c r="N1608" s="14" t="s">
        <v>84</v>
      </c>
      <c r="O1608" s="14"/>
      <c r="P1608" s="15" t="s">
        <v>1121</v>
      </c>
      <c r="Q1608" s="16">
        <v>17099</v>
      </c>
      <c r="R1608" s="17">
        <v>40</v>
      </c>
      <c r="S1608" s="18">
        <v>11798.31</v>
      </c>
      <c r="T1608" s="19" t="s">
        <v>36</v>
      </c>
      <c r="U1608" s="20" t="s">
        <v>880</v>
      </c>
      <c r="V1608" s="28">
        <v>44.5</v>
      </c>
      <c r="W1608" s="22">
        <v>1</v>
      </c>
      <c r="X1608" s="23"/>
    </row>
    <row r="1609" spans="1:24" s="1" customFormat="1" ht="108" customHeight="1" x14ac:dyDescent="0.3">
      <c r="A1609" s="11" t="s">
        <v>23</v>
      </c>
      <c r="B1609" s="11" t="s">
        <v>1932</v>
      </c>
      <c r="C1609" s="12" t="s">
        <v>1933</v>
      </c>
      <c r="D1609" s="25"/>
      <c r="E1609" s="39" t="str">
        <f>HYPERLINK("https://www.google.ru/search?q=3027595-108&amp;newwindow=1&amp;tbm=isch","Еще фото")</f>
        <v>Еще фото</v>
      </c>
      <c r="F1609" s="13"/>
      <c r="G1609" s="11" t="s">
        <v>808</v>
      </c>
      <c r="H1609" s="11" t="s">
        <v>593</v>
      </c>
      <c r="I1609" s="14" t="s">
        <v>1833</v>
      </c>
      <c r="J1609" s="14" t="s">
        <v>47</v>
      </c>
      <c r="K1609" s="15" t="s">
        <v>578</v>
      </c>
      <c r="L1609" s="14" t="s">
        <v>1909</v>
      </c>
      <c r="M1609" s="14" t="s">
        <v>824</v>
      </c>
      <c r="N1609" s="14" t="s">
        <v>74</v>
      </c>
      <c r="O1609" s="14"/>
      <c r="P1609" s="15" t="s">
        <v>1934</v>
      </c>
      <c r="Q1609" s="16">
        <v>20999</v>
      </c>
      <c r="R1609" s="17">
        <v>40</v>
      </c>
      <c r="S1609" s="18">
        <v>14489.309999999998</v>
      </c>
      <c r="T1609" s="19" t="s">
        <v>36</v>
      </c>
      <c r="U1609" s="20" t="s">
        <v>945</v>
      </c>
      <c r="V1609" s="22">
        <v>41</v>
      </c>
      <c r="W1609" s="22">
        <v>1</v>
      </c>
      <c r="X1609" s="23"/>
    </row>
    <row r="1610" spans="1:24" s="1" customFormat="1" ht="108" customHeight="1" x14ac:dyDescent="0.3">
      <c r="A1610" s="11" t="s">
        <v>23</v>
      </c>
      <c r="B1610" s="11" t="s">
        <v>1907</v>
      </c>
      <c r="C1610" s="12" t="s">
        <v>1935</v>
      </c>
      <c r="D1610" s="25"/>
      <c r="E1610" s="39" t="str">
        <f>HYPERLINK("https://www.google.ru/search?q=3027595-410&amp;newwindow=1&amp;tbm=isch","Еще фото")</f>
        <v>Еще фото</v>
      </c>
      <c r="F1610" s="13"/>
      <c r="G1610" s="11" t="s">
        <v>808</v>
      </c>
      <c r="H1610" s="11" t="s">
        <v>593</v>
      </c>
      <c r="I1610" s="14" t="s">
        <v>1833</v>
      </c>
      <c r="J1610" s="14" t="s">
        <v>47</v>
      </c>
      <c r="K1610" s="15" t="s">
        <v>578</v>
      </c>
      <c r="L1610" s="14" t="s">
        <v>1909</v>
      </c>
      <c r="M1610" s="14" t="s">
        <v>824</v>
      </c>
      <c r="N1610" s="14" t="s">
        <v>91</v>
      </c>
      <c r="O1610" s="14"/>
      <c r="P1610" s="15" t="s">
        <v>1934</v>
      </c>
      <c r="Q1610" s="16">
        <v>17699</v>
      </c>
      <c r="R1610" s="17">
        <v>40</v>
      </c>
      <c r="S1610" s="18">
        <v>12212.31</v>
      </c>
      <c r="T1610" s="19" t="s">
        <v>36</v>
      </c>
      <c r="U1610" s="20" t="s">
        <v>875</v>
      </c>
      <c r="V1610" s="28">
        <v>41.5</v>
      </c>
      <c r="W1610" s="22">
        <v>3</v>
      </c>
      <c r="X1610" s="23"/>
    </row>
    <row r="1611" spans="1:24" s="1" customFormat="1" ht="108" customHeight="1" x14ac:dyDescent="0.3">
      <c r="A1611" s="11" t="s">
        <v>23</v>
      </c>
      <c r="B1611" s="11" t="s">
        <v>1849</v>
      </c>
      <c r="C1611" s="12" t="s">
        <v>1936</v>
      </c>
      <c r="D1611" s="25"/>
      <c r="E1611" s="39" t="str">
        <f>HYPERLINK("https://www.google.ru/search?q=3027625-001&amp;newwindow=1&amp;tbm=isch","Еще фото")</f>
        <v>Еще фото</v>
      </c>
      <c r="F1611" s="13"/>
      <c r="G1611" s="11" t="s">
        <v>808</v>
      </c>
      <c r="H1611" s="11" t="s">
        <v>593</v>
      </c>
      <c r="I1611" s="14" t="s">
        <v>1833</v>
      </c>
      <c r="J1611" s="14" t="s">
        <v>47</v>
      </c>
      <c r="K1611" s="15" t="s">
        <v>578</v>
      </c>
      <c r="L1611" s="14" t="s">
        <v>1851</v>
      </c>
      <c r="M1611" s="14" t="s">
        <v>32</v>
      </c>
      <c r="N1611" s="14" t="s">
        <v>33</v>
      </c>
      <c r="O1611" s="14"/>
      <c r="P1611" s="15" t="s">
        <v>894</v>
      </c>
      <c r="Q1611" s="16">
        <v>25399</v>
      </c>
      <c r="R1611" s="17">
        <v>40</v>
      </c>
      <c r="S1611" s="18">
        <v>17525.309999999998</v>
      </c>
      <c r="T1611" s="19" t="s">
        <v>36</v>
      </c>
      <c r="U1611" s="20" t="s">
        <v>876</v>
      </c>
      <c r="V1611" s="22">
        <v>42</v>
      </c>
      <c r="W1611" s="22">
        <v>1</v>
      </c>
      <c r="X1611" s="23"/>
    </row>
    <row r="1612" spans="1:24" s="1" customFormat="1" ht="108" customHeight="1" x14ac:dyDescent="0.3">
      <c r="A1612" s="11" t="s">
        <v>23</v>
      </c>
      <c r="B1612" s="11" t="s">
        <v>1937</v>
      </c>
      <c r="C1612" s="12" t="s">
        <v>1938</v>
      </c>
      <c r="D1612" s="25"/>
      <c r="E1612" s="39" t="str">
        <f>HYPERLINK("https://www.google.ru/search?q=3027625-002&amp;newwindow=1&amp;tbm=isch","Еще фото")</f>
        <v>Еще фото</v>
      </c>
      <c r="F1612" s="13" t="s">
        <v>98</v>
      </c>
      <c r="G1612" s="11" t="s">
        <v>808</v>
      </c>
      <c r="H1612" s="11" t="s">
        <v>593</v>
      </c>
      <c r="I1612" s="14" t="s">
        <v>1833</v>
      </c>
      <c r="J1612" s="14" t="s">
        <v>47</v>
      </c>
      <c r="K1612" s="15" t="s">
        <v>578</v>
      </c>
      <c r="L1612" s="14" t="s">
        <v>1851</v>
      </c>
      <c r="M1612" s="14" t="s">
        <v>32</v>
      </c>
      <c r="N1612" s="14" t="s">
        <v>33</v>
      </c>
      <c r="O1612" s="14"/>
      <c r="P1612" s="15" t="s">
        <v>1685</v>
      </c>
      <c r="Q1612" s="16">
        <v>21999</v>
      </c>
      <c r="R1612" s="17">
        <v>40</v>
      </c>
      <c r="S1612" s="18">
        <v>15179.309999999998</v>
      </c>
      <c r="T1612" s="19" t="s">
        <v>36</v>
      </c>
      <c r="U1612" s="20" t="s">
        <v>876</v>
      </c>
      <c r="V1612" s="22">
        <v>42</v>
      </c>
      <c r="W1612" s="22">
        <v>1</v>
      </c>
      <c r="X1612" s="23"/>
    </row>
    <row r="1613" spans="1:24" s="1" customFormat="1" ht="51.95" customHeight="1" x14ac:dyDescent="0.3">
      <c r="A1613" s="11" t="s">
        <v>23</v>
      </c>
      <c r="B1613" s="11" t="s">
        <v>1849</v>
      </c>
      <c r="C1613" s="12" t="s">
        <v>1939</v>
      </c>
      <c r="D1613" s="59"/>
      <c r="E1613" s="39" t="str">
        <f>HYPERLINK("https://www.google.ru/search?q=3027625-101&amp;newwindow=1&amp;tbm=isch","Еще фото")</f>
        <v>Еще фото</v>
      </c>
      <c r="F1613" s="13"/>
      <c r="G1613" s="11" t="s">
        <v>808</v>
      </c>
      <c r="H1613" s="11" t="s">
        <v>593</v>
      </c>
      <c r="I1613" s="14" t="s">
        <v>1833</v>
      </c>
      <c r="J1613" s="14" t="s">
        <v>47</v>
      </c>
      <c r="K1613" s="15" t="s">
        <v>578</v>
      </c>
      <c r="L1613" s="56" t="s">
        <v>1851</v>
      </c>
      <c r="M1613" s="14" t="s">
        <v>32</v>
      </c>
      <c r="N1613" s="14" t="s">
        <v>84</v>
      </c>
      <c r="O1613" s="14"/>
      <c r="P1613" s="15" t="s">
        <v>894</v>
      </c>
      <c r="Q1613" s="16">
        <v>24099</v>
      </c>
      <c r="R1613" s="17">
        <v>40</v>
      </c>
      <c r="S1613" s="18">
        <v>16628.309999999998</v>
      </c>
      <c r="T1613" s="19" t="s">
        <v>36</v>
      </c>
      <c r="U1613" s="20" t="s">
        <v>878</v>
      </c>
      <c r="V1613" s="28">
        <v>43.5</v>
      </c>
      <c r="W1613" s="22">
        <v>2</v>
      </c>
      <c r="X1613" s="23"/>
    </row>
    <row r="1614" spans="1:24" s="1" customFormat="1" ht="60.95" customHeight="1" x14ac:dyDescent="0.3">
      <c r="A1614" s="24" t="s">
        <v>23</v>
      </c>
      <c r="B1614" s="24" t="s">
        <v>1849</v>
      </c>
      <c r="C1614" s="12" t="s">
        <v>1939</v>
      </c>
      <c r="D1614" s="60"/>
      <c r="E1614" s="39" t="str">
        <f>HYPERLINK("https://www.google.ru/search?q=3027625-101&amp;newwindow=1&amp;tbm=isch","Еще фото")</f>
        <v>Еще фото</v>
      </c>
      <c r="F1614" s="13"/>
      <c r="G1614" s="24" t="s">
        <v>808</v>
      </c>
      <c r="H1614" s="24" t="s">
        <v>593</v>
      </c>
      <c r="I1614" s="24" t="s">
        <v>1833</v>
      </c>
      <c r="J1614" s="14" t="s">
        <v>47</v>
      </c>
      <c r="K1614" s="15" t="s">
        <v>578</v>
      </c>
      <c r="L1614" s="58"/>
      <c r="M1614" s="14" t="s">
        <v>32</v>
      </c>
      <c r="N1614" s="14" t="s">
        <v>84</v>
      </c>
      <c r="O1614" s="14"/>
      <c r="P1614" s="15" t="s">
        <v>894</v>
      </c>
      <c r="Q1614" s="16">
        <v>24099</v>
      </c>
      <c r="R1614" s="17">
        <v>40</v>
      </c>
      <c r="S1614" s="18">
        <v>16628.309999999998</v>
      </c>
      <c r="T1614" s="19" t="s">
        <v>36</v>
      </c>
      <c r="U1614" s="20" t="s">
        <v>879</v>
      </c>
      <c r="V1614" s="22">
        <v>44</v>
      </c>
      <c r="W1614" s="22">
        <v>2</v>
      </c>
      <c r="X1614" s="23"/>
    </row>
    <row r="1615" spans="1:24" s="1" customFormat="1" ht="108" customHeight="1" x14ac:dyDescent="0.3">
      <c r="A1615" s="11" t="s">
        <v>23</v>
      </c>
      <c r="B1615" s="11" t="s">
        <v>1937</v>
      </c>
      <c r="C1615" s="12" t="s">
        <v>1940</v>
      </c>
      <c r="D1615" s="25"/>
      <c r="E1615" s="39" t="str">
        <f>HYPERLINK("https://www.google.ru/search?q=3027625-308&amp;newwindow=1&amp;tbm=isch","Еще фото")</f>
        <v>Еще фото</v>
      </c>
      <c r="F1615" s="13" t="s">
        <v>98</v>
      </c>
      <c r="G1615" s="11" t="s">
        <v>808</v>
      </c>
      <c r="H1615" s="11" t="s">
        <v>593</v>
      </c>
      <c r="I1615" s="14" t="s">
        <v>1833</v>
      </c>
      <c r="J1615" s="14" t="s">
        <v>47</v>
      </c>
      <c r="K1615" s="15" t="s">
        <v>578</v>
      </c>
      <c r="L1615" s="14" t="s">
        <v>1851</v>
      </c>
      <c r="M1615" s="14" t="s">
        <v>32</v>
      </c>
      <c r="N1615" s="14" t="s">
        <v>125</v>
      </c>
      <c r="O1615" s="14"/>
      <c r="P1615" s="15" t="s">
        <v>1685</v>
      </c>
      <c r="Q1615" s="16">
        <v>21999</v>
      </c>
      <c r="R1615" s="17">
        <v>40</v>
      </c>
      <c r="S1615" s="18">
        <v>15179.309999999998</v>
      </c>
      <c r="T1615" s="19" t="s">
        <v>36</v>
      </c>
      <c r="U1615" s="20" t="s">
        <v>878</v>
      </c>
      <c r="V1615" s="28">
        <v>43.5</v>
      </c>
      <c r="W1615" s="22">
        <v>1</v>
      </c>
      <c r="X1615" s="23"/>
    </row>
    <row r="1616" spans="1:24" s="1" customFormat="1" ht="108" customHeight="1" x14ac:dyDescent="0.3">
      <c r="A1616" s="11" t="s">
        <v>23</v>
      </c>
      <c r="B1616" s="11" t="s">
        <v>1941</v>
      </c>
      <c r="C1616" s="12" t="s">
        <v>1942</v>
      </c>
      <c r="D1616" s="25"/>
      <c r="E1616" s="39" t="str">
        <f>HYPERLINK("https://www.google.ru/search?q=3027672-001&amp;newwindow=1&amp;tbm=isch","Еще фото")</f>
        <v>Еще фото</v>
      </c>
      <c r="F1616" s="13"/>
      <c r="G1616" s="11" t="s">
        <v>808</v>
      </c>
      <c r="H1616" s="11" t="s">
        <v>593</v>
      </c>
      <c r="I1616" s="14" t="s">
        <v>1833</v>
      </c>
      <c r="J1616" s="14" t="s">
        <v>47</v>
      </c>
      <c r="K1616" s="15" t="s">
        <v>578</v>
      </c>
      <c r="L1616" s="14" t="s">
        <v>1943</v>
      </c>
      <c r="M1616" s="14"/>
      <c r="N1616" s="14" t="s">
        <v>33</v>
      </c>
      <c r="O1616" s="14"/>
      <c r="P1616" s="15" t="s">
        <v>1839</v>
      </c>
      <c r="Q1616" s="16">
        <v>19899</v>
      </c>
      <c r="R1616" s="17">
        <v>40</v>
      </c>
      <c r="S1616" s="18">
        <v>13730.309999999998</v>
      </c>
      <c r="T1616" s="19" t="s">
        <v>36</v>
      </c>
      <c r="U1616" s="20" t="s">
        <v>944</v>
      </c>
      <c r="V1616" s="22">
        <v>40</v>
      </c>
      <c r="W1616" s="22">
        <v>1</v>
      </c>
      <c r="X1616" s="23"/>
    </row>
    <row r="1617" spans="1:24" s="1" customFormat="1" ht="35.1" customHeight="1" x14ac:dyDescent="0.3">
      <c r="A1617" s="11" t="s">
        <v>23</v>
      </c>
      <c r="B1617" s="11" t="s">
        <v>1941</v>
      </c>
      <c r="C1617" s="12" t="s">
        <v>1944</v>
      </c>
      <c r="D1617" s="53"/>
      <c r="E1617" s="39" t="str">
        <f>HYPERLINK("https://www.google.ru/search?q=3027672-014&amp;newwindow=1&amp;tbm=isch","Еще фото")</f>
        <v>Еще фото</v>
      </c>
      <c r="F1617" s="13"/>
      <c r="G1617" s="11" t="s">
        <v>808</v>
      </c>
      <c r="H1617" s="11" t="s">
        <v>593</v>
      </c>
      <c r="I1617" s="14" t="s">
        <v>1833</v>
      </c>
      <c r="J1617" s="14" t="s">
        <v>47</v>
      </c>
      <c r="K1617" s="15" t="s">
        <v>578</v>
      </c>
      <c r="L1617" s="56" t="s">
        <v>1943</v>
      </c>
      <c r="M1617" s="14"/>
      <c r="N1617" s="14" t="s">
        <v>84</v>
      </c>
      <c r="O1617" s="14"/>
      <c r="P1617" s="15" t="s">
        <v>1839</v>
      </c>
      <c r="Q1617" s="16">
        <v>18299</v>
      </c>
      <c r="R1617" s="17">
        <v>40</v>
      </c>
      <c r="S1617" s="18">
        <v>12626.31</v>
      </c>
      <c r="T1617" s="19" t="s">
        <v>36</v>
      </c>
      <c r="U1617" s="20" t="s">
        <v>945</v>
      </c>
      <c r="V1617" s="22">
        <v>41</v>
      </c>
      <c r="W1617" s="22">
        <v>1</v>
      </c>
      <c r="X1617" s="23"/>
    </row>
    <row r="1618" spans="1:24" s="1" customFormat="1" ht="35.1" customHeight="1" x14ac:dyDescent="0.3">
      <c r="A1618" s="24" t="s">
        <v>23</v>
      </c>
      <c r="B1618" s="24" t="s">
        <v>1941</v>
      </c>
      <c r="C1618" s="12" t="s">
        <v>1944</v>
      </c>
      <c r="D1618" s="54"/>
      <c r="E1618" s="39" t="str">
        <f>HYPERLINK("https://www.google.ru/search?q=3027672-014&amp;newwindow=1&amp;tbm=isch","Еще фото")</f>
        <v>Еще фото</v>
      </c>
      <c r="F1618" s="13"/>
      <c r="G1618" s="24" t="s">
        <v>808</v>
      </c>
      <c r="H1618" s="24" t="s">
        <v>593</v>
      </c>
      <c r="I1618" s="24" t="s">
        <v>1833</v>
      </c>
      <c r="J1618" s="14" t="s">
        <v>47</v>
      </c>
      <c r="K1618" s="15" t="s">
        <v>578</v>
      </c>
      <c r="L1618" s="57"/>
      <c r="M1618" s="14"/>
      <c r="N1618" s="14" t="s">
        <v>84</v>
      </c>
      <c r="O1618" s="14"/>
      <c r="P1618" s="15" t="s">
        <v>1839</v>
      </c>
      <c r="Q1618" s="16">
        <v>18299</v>
      </c>
      <c r="R1618" s="17">
        <v>40</v>
      </c>
      <c r="S1618" s="18">
        <v>12626.31</v>
      </c>
      <c r="T1618" s="19" t="s">
        <v>36</v>
      </c>
      <c r="U1618" s="20" t="s">
        <v>875</v>
      </c>
      <c r="V1618" s="28">
        <v>41.5</v>
      </c>
      <c r="W1618" s="22">
        <v>3</v>
      </c>
      <c r="X1618" s="23"/>
    </row>
    <row r="1619" spans="1:24" s="1" customFormat="1" ht="36.950000000000003" customHeight="1" x14ac:dyDescent="0.3">
      <c r="A1619" s="24" t="s">
        <v>23</v>
      </c>
      <c r="B1619" s="24" t="s">
        <v>1941</v>
      </c>
      <c r="C1619" s="12" t="s">
        <v>1944</v>
      </c>
      <c r="D1619" s="55"/>
      <c r="E1619" s="39" t="str">
        <f>HYPERLINK("https://www.google.ru/search?q=3027672-014&amp;newwindow=1&amp;tbm=isch","Еще фото")</f>
        <v>Еще фото</v>
      </c>
      <c r="F1619" s="13"/>
      <c r="G1619" s="24" t="s">
        <v>808</v>
      </c>
      <c r="H1619" s="24" t="s">
        <v>593</v>
      </c>
      <c r="I1619" s="24" t="s">
        <v>1833</v>
      </c>
      <c r="J1619" s="14" t="s">
        <v>47</v>
      </c>
      <c r="K1619" s="15" t="s">
        <v>578</v>
      </c>
      <c r="L1619" s="58"/>
      <c r="M1619" s="14"/>
      <c r="N1619" s="14" t="s">
        <v>84</v>
      </c>
      <c r="O1619" s="14"/>
      <c r="P1619" s="15" t="s">
        <v>1839</v>
      </c>
      <c r="Q1619" s="16">
        <v>18299</v>
      </c>
      <c r="R1619" s="17">
        <v>40</v>
      </c>
      <c r="S1619" s="18">
        <v>12626.31</v>
      </c>
      <c r="T1619" s="19" t="s">
        <v>36</v>
      </c>
      <c r="U1619" s="20" t="s">
        <v>876</v>
      </c>
      <c r="V1619" s="22">
        <v>42</v>
      </c>
      <c r="W1619" s="22">
        <v>1</v>
      </c>
      <c r="X1619" s="23"/>
    </row>
    <row r="1620" spans="1:24" s="1" customFormat="1" ht="108" customHeight="1" x14ac:dyDescent="0.3">
      <c r="A1620" s="11" t="s">
        <v>23</v>
      </c>
      <c r="B1620" s="11" t="s">
        <v>1945</v>
      </c>
      <c r="C1620" s="12" t="s">
        <v>1946</v>
      </c>
      <c r="D1620" s="25"/>
      <c r="E1620" s="39" t="str">
        <f>HYPERLINK("https://www.google.ru/search?q=3028121-001&amp;newwindow=1&amp;tbm=isch","Еще фото")</f>
        <v>Еще фото</v>
      </c>
      <c r="F1620" s="13"/>
      <c r="G1620" s="11" t="s">
        <v>808</v>
      </c>
      <c r="H1620" s="11" t="s">
        <v>593</v>
      </c>
      <c r="I1620" s="14" t="s">
        <v>1833</v>
      </c>
      <c r="J1620" s="14" t="s">
        <v>47</v>
      </c>
      <c r="K1620" s="15" t="s">
        <v>578</v>
      </c>
      <c r="L1620" s="14" t="s">
        <v>1947</v>
      </c>
      <c r="M1620" s="14" t="s">
        <v>824</v>
      </c>
      <c r="N1620" s="14" t="s">
        <v>33</v>
      </c>
      <c r="O1620" s="14"/>
      <c r="P1620" s="15" t="s">
        <v>1934</v>
      </c>
      <c r="Q1620" s="16">
        <v>22099</v>
      </c>
      <c r="R1620" s="17">
        <v>40</v>
      </c>
      <c r="S1620" s="18">
        <v>15248.309999999998</v>
      </c>
      <c r="T1620" s="19" t="s">
        <v>36</v>
      </c>
      <c r="U1620" s="20" t="s">
        <v>876</v>
      </c>
      <c r="V1620" s="22">
        <v>42</v>
      </c>
      <c r="W1620" s="22">
        <v>1</v>
      </c>
      <c r="X1620" s="23"/>
    </row>
    <row r="1621" spans="1:24" s="1" customFormat="1" ht="26.1" customHeight="1" x14ac:dyDescent="0.3">
      <c r="A1621" s="11" t="s">
        <v>23</v>
      </c>
      <c r="B1621" s="11" t="s">
        <v>1857</v>
      </c>
      <c r="C1621" s="12" t="s">
        <v>1948</v>
      </c>
      <c r="D1621" s="53"/>
      <c r="E1621" s="39" t="str">
        <f>HYPERLINK("https://www.google.ru/search?q=3028345-004&amp;newwindow=1&amp;tbm=isch","Еще фото")</f>
        <v>Еще фото</v>
      </c>
      <c r="F1621" s="13"/>
      <c r="G1621" s="11" t="s">
        <v>808</v>
      </c>
      <c r="H1621" s="11" t="s">
        <v>593</v>
      </c>
      <c r="I1621" s="14" t="s">
        <v>1833</v>
      </c>
      <c r="J1621" s="14" t="s">
        <v>47</v>
      </c>
      <c r="K1621" s="15" t="s">
        <v>30</v>
      </c>
      <c r="L1621" s="56" t="s">
        <v>1859</v>
      </c>
      <c r="M1621" s="14"/>
      <c r="N1621" s="14" t="s">
        <v>33</v>
      </c>
      <c r="O1621" s="14"/>
      <c r="P1621" s="15" t="s">
        <v>1949</v>
      </c>
      <c r="Q1621" s="16">
        <v>14199</v>
      </c>
      <c r="R1621" s="17">
        <v>40</v>
      </c>
      <c r="S1621" s="18">
        <v>9797.31</v>
      </c>
      <c r="T1621" s="19" t="s">
        <v>36</v>
      </c>
      <c r="U1621" s="20" t="s">
        <v>598</v>
      </c>
      <c r="V1621" s="22">
        <v>39</v>
      </c>
      <c r="W1621" s="22">
        <v>1</v>
      </c>
      <c r="X1621" s="23"/>
    </row>
    <row r="1622" spans="1:24" s="1" customFormat="1" ht="26.1" customHeight="1" x14ac:dyDescent="0.3">
      <c r="A1622" s="24" t="s">
        <v>23</v>
      </c>
      <c r="B1622" s="24" t="s">
        <v>1857</v>
      </c>
      <c r="C1622" s="12" t="s">
        <v>1948</v>
      </c>
      <c r="D1622" s="54"/>
      <c r="E1622" s="39" t="str">
        <f>HYPERLINK("https://www.google.ru/search?q=3028345-004&amp;newwindow=1&amp;tbm=isch","Еще фото")</f>
        <v>Еще фото</v>
      </c>
      <c r="F1622" s="13"/>
      <c r="G1622" s="24" t="s">
        <v>808</v>
      </c>
      <c r="H1622" s="24" t="s">
        <v>593</v>
      </c>
      <c r="I1622" s="24" t="s">
        <v>1833</v>
      </c>
      <c r="J1622" s="14" t="s">
        <v>47</v>
      </c>
      <c r="K1622" s="15" t="s">
        <v>30</v>
      </c>
      <c r="L1622" s="57"/>
      <c r="M1622" s="14"/>
      <c r="N1622" s="14" t="s">
        <v>33</v>
      </c>
      <c r="O1622" s="14"/>
      <c r="P1622" s="15" t="s">
        <v>1949</v>
      </c>
      <c r="Q1622" s="16">
        <v>14199</v>
      </c>
      <c r="R1622" s="17">
        <v>40</v>
      </c>
      <c r="S1622" s="18">
        <v>9797.31</v>
      </c>
      <c r="T1622" s="19" t="s">
        <v>36</v>
      </c>
      <c r="U1622" s="20" t="s">
        <v>599</v>
      </c>
      <c r="V1622" s="28">
        <v>39.5</v>
      </c>
      <c r="W1622" s="22">
        <v>4</v>
      </c>
      <c r="X1622" s="23"/>
    </row>
    <row r="1623" spans="1:24" s="1" customFormat="1" ht="26.1" customHeight="1" x14ac:dyDescent="0.3">
      <c r="A1623" s="24" t="s">
        <v>23</v>
      </c>
      <c r="B1623" s="24" t="s">
        <v>1857</v>
      </c>
      <c r="C1623" s="12" t="s">
        <v>1948</v>
      </c>
      <c r="D1623" s="54"/>
      <c r="E1623" s="39" t="str">
        <f>HYPERLINK("https://www.google.ru/search?q=3028345-004&amp;newwindow=1&amp;tbm=isch","Еще фото")</f>
        <v>Еще фото</v>
      </c>
      <c r="F1623" s="13"/>
      <c r="G1623" s="24" t="s">
        <v>808</v>
      </c>
      <c r="H1623" s="24" t="s">
        <v>593</v>
      </c>
      <c r="I1623" s="24" t="s">
        <v>1833</v>
      </c>
      <c r="J1623" s="14" t="s">
        <v>47</v>
      </c>
      <c r="K1623" s="15" t="s">
        <v>30</v>
      </c>
      <c r="L1623" s="57"/>
      <c r="M1623" s="14"/>
      <c r="N1623" s="14" t="s">
        <v>33</v>
      </c>
      <c r="O1623" s="14"/>
      <c r="P1623" s="15" t="s">
        <v>1949</v>
      </c>
      <c r="Q1623" s="16">
        <v>14199</v>
      </c>
      <c r="R1623" s="17">
        <v>40</v>
      </c>
      <c r="S1623" s="18">
        <v>9797.31</v>
      </c>
      <c r="T1623" s="19" t="s">
        <v>36</v>
      </c>
      <c r="U1623" s="20" t="s">
        <v>600</v>
      </c>
      <c r="V1623" s="22">
        <v>40</v>
      </c>
      <c r="W1623" s="22">
        <v>2</v>
      </c>
      <c r="X1623" s="23"/>
    </row>
    <row r="1624" spans="1:24" s="1" customFormat="1" ht="26.1" customHeight="1" x14ac:dyDescent="0.3">
      <c r="A1624" s="24" t="s">
        <v>23</v>
      </c>
      <c r="B1624" s="24" t="s">
        <v>1857</v>
      </c>
      <c r="C1624" s="12" t="s">
        <v>1948</v>
      </c>
      <c r="D1624" s="55"/>
      <c r="E1624" s="39" t="str">
        <f>HYPERLINK("https://www.google.ru/search?q=3028345-004&amp;newwindow=1&amp;tbm=isch","Еще фото")</f>
        <v>Еще фото</v>
      </c>
      <c r="F1624" s="13"/>
      <c r="G1624" s="24" t="s">
        <v>808</v>
      </c>
      <c r="H1624" s="24" t="s">
        <v>593</v>
      </c>
      <c r="I1624" s="24" t="s">
        <v>1833</v>
      </c>
      <c r="J1624" s="14" t="s">
        <v>47</v>
      </c>
      <c r="K1624" s="15" t="s">
        <v>30</v>
      </c>
      <c r="L1624" s="58"/>
      <c r="M1624" s="14"/>
      <c r="N1624" s="14" t="s">
        <v>33</v>
      </c>
      <c r="O1624" s="14"/>
      <c r="P1624" s="15" t="s">
        <v>1949</v>
      </c>
      <c r="Q1624" s="16">
        <v>14199</v>
      </c>
      <c r="R1624" s="17">
        <v>40</v>
      </c>
      <c r="S1624" s="18">
        <v>9797.31</v>
      </c>
      <c r="T1624" s="19" t="s">
        <v>36</v>
      </c>
      <c r="U1624" s="20" t="s">
        <v>602</v>
      </c>
      <c r="V1624" s="28">
        <v>41.5</v>
      </c>
      <c r="W1624" s="22">
        <v>1</v>
      </c>
      <c r="X1624" s="23"/>
    </row>
    <row r="1625" spans="1:24" s="1" customFormat="1" ht="26.1" customHeight="1" x14ac:dyDescent="0.3">
      <c r="A1625" s="11" t="s">
        <v>23</v>
      </c>
      <c r="B1625" s="11" t="s">
        <v>1857</v>
      </c>
      <c r="C1625" s="12" t="s">
        <v>1950</v>
      </c>
      <c r="D1625" s="53"/>
      <c r="E1625" s="39" t="str">
        <f>HYPERLINK("https://www.google.ru/search?q=3028345-105&amp;newwindow=1&amp;tbm=isch","Еще фото")</f>
        <v>Еще фото</v>
      </c>
      <c r="F1625" s="13"/>
      <c r="G1625" s="11" t="s">
        <v>808</v>
      </c>
      <c r="H1625" s="11" t="s">
        <v>593</v>
      </c>
      <c r="I1625" s="14" t="s">
        <v>1833</v>
      </c>
      <c r="J1625" s="14" t="s">
        <v>47</v>
      </c>
      <c r="K1625" s="15" t="s">
        <v>30</v>
      </c>
      <c r="L1625" s="56" t="s">
        <v>1859</v>
      </c>
      <c r="M1625" s="14"/>
      <c r="N1625" s="14" t="s">
        <v>74</v>
      </c>
      <c r="O1625" s="14"/>
      <c r="P1625" s="15" t="s">
        <v>1860</v>
      </c>
      <c r="Q1625" s="16">
        <v>13299</v>
      </c>
      <c r="R1625" s="17">
        <v>40</v>
      </c>
      <c r="S1625" s="18">
        <v>9176.31</v>
      </c>
      <c r="T1625" s="19" t="s">
        <v>36</v>
      </c>
      <c r="U1625" s="20" t="s">
        <v>599</v>
      </c>
      <c r="V1625" s="28">
        <v>39.5</v>
      </c>
      <c r="W1625" s="22">
        <v>2</v>
      </c>
      <c r="X1625" s="23"/>
    </row>
    <row r="1626" spans="1:24" s="1" customFormat="1" ht="26.1" customHeight="1" x14ac:dyDescent="0.3">
      <c r="A1626" s="24" t="s">
        <v>23</v>
      </c>
      <c r="B1626" s="24" t="s">
        <v>1857</v>
      </c>
      <c r="C1626" s="12" t="s">
        <v>1950</v>
      </c>
      <c r="D1626" s="54"/>
      <c r="E1626" s="39" t="str">
        <f>HYPERLINK("https://www.google.ru/search?q=3028345-105&amp;newwindow=1&amp;tbm=isch","Еще фото")</f>
        <v>Еще фото</v>
      </c>
      <c r="F1626" s="13"/>
      <c r="G1626" s="24" t="s">
        <v>808</v>
      </c>
      <c r="H1626" s="24" t="s">
        <v>593</v>
      </c>
      <c r="I1626" s="24" t="s">
        <v>1833</v>
      </c>
      <c r="J1626" s="14" t="s">
        <v>47</v>
      </c>
      <c r="K1626" s="15" t="s">
        <v>30</v>
      </c>
      <c r="L1626" s="57"/>
      <c r="M1626" s="14"/>
      <c r="N1626" s="14" t="s">
        <v>74</v>
      </c>
      <c r="O1626" s="14"/>
      <c r="P1626" s="15" t="s">
        <v>1860</v>
      </c>
      <c r="Q1626" s="16">
        <v>13299</v>
      </c>
      <c r="R1626" s="17">
        <v>40</v>
      </c>
      <c r="S1626" s="18">
        <v>9176.31</v>
      </c>
      <c r="T1626" s="19" t="s">
        <v>36</v>
      </c>
      <c r="U1626" s="20" t="s">
        <v>602</v>
      </c>
      <c r="V1626" s="28">
        <v>41.5</v>
      </c>
      <c r="W1626" s="22">
        <v>1</v>
      </c>
      <c r="X1626" s="23"/>
    </row>
    <row r="1627" spans="1:24" s="1" customFormat="1" ht="26.1" customHeight="1" x14ac:dyDescent="0.3">
      <c r="A1627" s="24" t="s">
        <v>23</v>
      </c>
      <c r="B1627" s="24" t="s">
        <v>1857</v>
      </c>
      <c r="C1627" s="12" t="s">
        <v>1950</v>
      </c>
      <c r="D1627" s="54"/>
      <c r="E1627" s="39" t="str">
        <f>HYPERLINK("https://www.google.ru/search?q=3028345-105&amp;newwindow=1&amp;tbm=isch","Еще фото")</f>
        <v>Еще фото</v>
      </c>
      <c r="F1627" s="13"/>
      <c r="G1627" s="24" t="s">
        <v>808</v>
      </c>
      <c r="H1627" s="24" t="s">
        <v>593</v>
      </c>
      <c r="I1627" s="24" t="s">
        <v>1833</v>
      </c>
      <c r="J1627" s="14" t="s">
        <v>47</v>
      </c>
      <c r="K1627" s="15" t="s">
        <v>30</v>
      </c>
      <c r="L1627" s="57"/>
      <c r="M1627" s="14"/>
      <c r="N1627" s="14" t="s">
        <v>74</v>
      </c>
      <c r="O1627" s="14"/>
      <c r="P1627" s="15" t="s">
        <v>1860</v>
      </c>
      <c r="Q1627" s="16">
        <v>13299</v>
      </c>
      <c r="R1627" s="17">
        <v>40</v>
      </c>
      <c r="S1627" s="18">
        <v>9176.31</v>
      </c>
      <c r="T1627" s="19" t="s">
        <v>36</v>
      </c>
      <c r="U1627" s="20" t="s">
        <v>605</v>
      </c>
      <c r="V1627" s="28">
        <v>43.5</v>
      </c>
      <c r="W1627" s="22">
        <v>1</v>
      </c>
      <c r="X1627" s="23"/>
    </row>
    <row r="1628" spans="1:24" s="1" customFormat="1" ht="26.1" customHeight="1" x14ac:dyDescent="0.3">
      <c r="A1628" s="24" t="s">
        <v>23</v>
      </c>
      <c r="B1628" s="24" t="s">
        <v>1857</v>
      </c>
      <c r="C1628" s="12" t="s">
        <v>1950</v>
      </c>
      <c r="D1628" s="55"/>
      <c r="E1628" s="39" t="str">
        <f>HYPERLINK("https://www.google.ru/search?q=3028345-105&amp;newwindow=1&amp;tbm=isch","Еще фото")</f>
        <v>Еще фото</v>
      </c>
      <c r="F1628" s="13"/>
      <c r="G1628" s="24" t="s">
        <v>808</v>
      </c>
      <c r="H1628" s="24" t="s">
        <v>593</v>
      </c>
      <c r="I1628" s="24" t="s">
        <v>1833</v>
      </c>
      <c r="J1628" s="14" t="s">
        <v>47</v>
      </c>
      <c r="K1628" s="15" t="s">
        <v>30</v>
      </c>
      <c r="L1628" s="58"/>
      <c r="M1628" s="14"/>
      <c r="N1628" s="14" t="s">
        <v>74</v>
      </c>
      <c r="O1628" s="14"/>
      <c r="P1628" s="15" t="s">
        <v>1860</v>
      </c>
      <c r="Q1628" s="16">
        <v>13299</v>
      </c>
      <c r="R1628" s="17">
        <v>40</v>
      </c>
      <c r="S1628" s="18">
        <v>9176.31</v>
      </c>
      <c r="T1628" s="19" t="s">
        <v>36</v>
      </c>
      <c r="U1628" s="20" t="s">
        <v>607</v>
      </c>
      <c r="V1628" s="28">
        <v>44.5</v>
      </c>
      <c r="W1628" s="22">
        <v>2</v>
      </c>
      <c r="X1628" s="23"/>
    </row>
    <row r="1629" spans="1:24" s="1" customFormat="1" ht="51.95" customHeight="1" x14ac:dyDescent="0.3">
      <c r="A1629" s="11" t="s">
        <v>23</v>
      </c>
      <c r="B1629" s="11" t="s">
        <v>1831</v>
      </c>
      <c r="C1629" s="12" t="s">
        <v>1951</v>
      </c>
      <c r="D1629" s="59"/>
      <c r="E1629" s="39" t="str">
        <f>HYPERLINK("https://www.google.ru/search?q=3028424-202&amp;newwindow=1&amp;tbm=isch","Еще фото")</f>
        <v>Еще фото</v>
      </c>
      <c r="F1629" s="13" t="s">
        <v>310</v>
      </c>
      <c r="G1629" s="11" t="s">
        <v>808</v>
      </c>
      <c r="H1629" s="11" t="s">
        <v>593</v>
      </c>
      <c r="I1629" s="14" t="s">
        <v>1833</v>
      </c>
      <c r="J1629" s="14" t="s">
        <v>47</v>
      </c>
      <c r="K1629" s="15" t="s">
        <v>30</v>
      </c>
      <c r="L1629" s="56" t="s">
        <v>1834</v>
      </c>
      <c r="M1629" s="14"/>
      <c r="N1629" s="14" t="s">
        <v>249</v>
      </c>
      <c r="O1629" s="14"/>
      <c r="P1629" s="15" t="s">
        <v>1178</v>
      </c>
      <c r="Q1629" s="16">
        <v>14699</v>
      </c>
      <c r="R1629" s="17">
        <v>40</v>
      </c>
      <c r="S1629" s="18">
        <v>10142.31</v>
      </c>
      <c r="T1629" s="19" t="s">
        <v>36</v>
      </c>
      <c r="U1629" s="20" t="s">
        <v>598</v>
      </c>
      <c r="V1629" s="22">
        <v>39</v>
      </c>
      <c r="W1629" s="22">
        <v>1</v>
      </c>
      <c r="X1629" s="23"/>
    </row>
    <row r="1630" spans="1:24" s="1" customFormat="1" ht="60.95" customHeight="1" x14ac:dyDescent="0.3">
      <c r="A1630" s="24" t="s">
        <v>23</v>
      </c>
      <c r="B1630" s="24" t="s">
        <v>1831</v>
      </c>
      <c r="C1630" s="12" t="s">
        <v>1951</v>
      </c>
      <c r="D1630" s="60"/>
      <c r="E1630" s="39" t="str">
        <f>HYPERLINK("https://www.google.ru/search?q=3028424-202&amp;newwindow=1&amp;tbm=isch","Еще фото")</f>
        <v>Еще фото</v>
      </c>
      <c r="F1630" s="13" t="s">
        <v>310</v>
      </c>
      <c r="G1630" s="24" t="s">
        <v>808</v>
      </c>
      <c r="H1630" s="24" t="s">
        <v>593</v>
      </c>
      <c r="I1630" s="24" t="s">
        <v>1833</v>
      </c>
      <c r="J1630" s="14" t="s">
        <v>47</v>
      </c>
      <c r="K1630" s="15" t="s">
        <v>30</v>
      </c>
      <c r="L1630" s="58"/>
      <c r="M1630" s="14"/>
      <c r="N1630" s="14" t="s">
        <v>249</v>
      </c>
      <c r="O1630" s="14"/>
      <c r="P1630" s="15" t="s">
        <v>1178</v>
      </c>
      <c r="Q1630" s="16">
        <v>14699</v>
      </c>
      <c r="R1630" s="17">
        <v>40</v>
      </c>
      <c r="S1630" s="18">
        <v>10142.31</v>
      </c>
      <c r="T1630" s="19" t="s">
        <v>36</v>
      </c>
      <c r="U1630" s="20" t="s">
        <v>607</v>
      </c>
      <c r="V1630" s="28">
        <v>44.5</v>
      </c>
      <c r="W1630" s="22">
        <v>1</v>
      </c>
      <c r="X1630" s="23"/>
    </row>
    <row r="1631" spans="1:24" s="1" customFormat="1" ht="108" customHeight="1" x14ac:dyDescent="0.3">
      <c r="A1631" s="11" t="s">
        <v>23</v>
      </c>
      <c r="B1631" s="11" t="s">
        <v>1952</v>
      </c>
      <c r="C1631" s="12" t="s">
        <v>1953</v>
      </c>
      <c r="D1631" s="25"/>
      <c r="E1631" s="39" t="str">
        <f>HYPERLINK("https://www.google.ru/search?q=3028486-001&amp;newwindow=1&amp;tbm=isch","Еще фото")</f>
        <v>Еще фото</v>
      </c>
      <c r="F1631" s="13" t="s">
        <v>98</v>
      </c>
      <c r="G1631" s="11" t="s">
        <v>1954</v>
      </c>
      <c r="H1631" s="11" t="s">
        <v>593</v>
      </c>
      <c r="I1631" s="14" t="s">
        <v>1833</v>
      </c>
      <c r="J1631" s="14" t="s">
        <v>47</v>
      </c>
      <c r="K1631" s="15" t="s">
        <v>30</v>
      </c>
      <c r="L1631" s="14" t="s">
        <v>1955</v>
      </c>
      <c r="M1631" s="14"/>
      <c r="N1631" s="14" t="s">
        <v>33</v>
      </c>
      <c r="O1631" s="14"/>
      <c r="P1631" s="15" t="s">
        <v>1956</v>
      </c>
      <c r="Q1631" s="16">
        <v>8899</v>
      </c>
      <c r="R1631" s="17">
        <v>40</v>
      </c>
      <c r="S1631" s="18">
        <v>6140.3099999999995</v>
      </c>
      <c r="T1631" s="19" t="s">
        <v>36</v>
      </c>
      <c r="U1631" s="20" t="s">
        <v>601</v>
      </c>
      <c r="V1631" s="22">
        <v>41</v>
      </c>
      <c r="W1631" s="22">
        <v>1</v>
      </c>
      <c r="X1631" s="23"/>
    </row>
    <row r="1632" spans="1:24" s="1" customFormat="1" ht="21" customHeight="1" x14ac:dyDescent="0.3">
      <c r="A1632" s="11" t="s">
        <v>23</v>
      </c>
      <c r="B1632" s="11" t="s">
        <v>1957</v>
      </c>
      <c r="C1632" s="26" t="s">
        <v>1958</v>
      </c>
      <c r="D1632" s="53"/>
      <c r="E1632" s="39" t="str">
        <f>HYPERLINK("https://www.google.ru/search?q=6005279-016&amp;newwindow=1&amp;tbm=isch","Еще фото")</f>
        <v>Еще фото</v>
      </c>
      <c r="F1632" s="13" t="s">
        <v>98</v>
      </c>
      <c r="G1632" s="11" t="s">
        <v>808</v>
      </c>
      <c r="H1632" s="11" t="s">
        <v>593</v>
      </c>
      <c r="I1632" s="14" t="s">
        <v>1833</v>
      </c>
      <c r="J1632" s="14" t="s">
        <v>47</v>
      </c>
      <c r="K1632" s="15" t="s">
        <v>578</v>
      </c>
      <c r="L1632" s="56"/>
      <c r="M1632" s="14"/>
      <c r="N1632" s="14" t="s">
        <v>84</v>
      </c>
      <c r="O1632" s="14"/>
      <c r="P1632" s="15" t="s">
        <v>1794</v>
      </c>
      <c r="Q1632" s="16">
        <v>15799</v>
      </c>
      <c r="R1632" s="17">
        <v>40</v>
      </c>
      <c r="S1632" s="18">
        <v>10901.31</v>
      </c>
      <c r="T1632" s="19" t="s">
        <v>36</v>
      </c>
      <c r="U1632" s="20" t="s">
        <v>943</v>
      </c>
      <c r="V1632" s="28">
        <v>39.5</v>
      </c>
      <c r="W1632" s="22">
        <v>1</v>
      </c>
      <c r="X1632" s="23"/>
    </row>
    <row r="1633" spans="1:24" s="1" customFormat="1" ht="21" customHeight="1" x14ac:dyDescent="0.3">
      <c r="A1633" s="24" t="s">
        <v>23</v>
      </c>
      <c r="B1633" s="24" t="s">
        <v>1957</v>
      </c>
      <c r="C1633" s="27" t="s">
        <v>1958</v>
      </c>
      <c r="D1633" s="54"/>
      <c r="E1633" s="39" t="str">
        <f>HYPERLINK("https://www.google.ru/search?q=6005279-016&amp;newwindow=1&amp;tbm=isch","Еще фото")</f>
        <v>Еще фото</v>
      </c>
      <c r="F1633" s="13" t="s">
        <v>98</v>
      </c>
      <c r="G1633" s="24" t="s">
        <v>808</v>
      </c>
      <c r="H1633" s="24" t="s">
        <v>593</v>
      </c>
      <c r="I1633" s="24" t="s">
        <v>1833</v>
      </c>
      <c r="J1633" s="14" t="s">
        <v>47</v>
      </c>
      <c r="K1633" s="15" t="s">
        <v>578</v>
      </c>
      <c r="L1633" s="57"/>
      <c r="M1633" s="14"/>
      <c r="N1633" s="14" t="s">
        <v>84</v>
      </c>
      <c r="O1633" s="14"/>
      <c r="P1633" s="15" t="s">
        <v>1794</v>
      </c>
      <c r="Q1633" s="16">
        <v>15799</v>
      </c>
      <c r="R1633" s="17">
        <v>40</v>
      </c>
      <c r="S1633" s="18">
        <v>10901.31</v>
      </c>
      <c r="T1633" s="19" t="s">
        <v>36</v>
      </c>
      <c r="U1633" s="20" t="s">
        <v>945</v>
      </c>
      <c r="V1633" s="22">
        <v>41</v>
      </c>
      <c r="W1633" s="22">
        <v>4</v>
      </c>
      <c r="X1633" s="23"/>
    </row>
    <row r="1634" spans="1:24" s="1" customFormat="1" ht="21" customHeight="1" x14ac:dyDescent="0.3">
      <c r="A1634" s="24" t="s">
        <v>23</v>
      </c>
      <c r="B1634" s="24" t="s">
        <v>1957</v>
      </c>
      <c r="C1634" s="27" t="s">
        <v>1958</v>
      </c>
      <c r="D1634" s="54"/>
      <c r="E1634" s="39" t="str">
        <f>HYPERLINK("https://www.google.ru/search?q=6005279-016&amp;newwindow=1&amp;tbm=isch","Еще фото")</f>
        <v>Еще фото</v>
      </c>
      <c r="F1634" s="13" t="s">
        <v>98</v>
      </c>
      <c r="G1634" s="24" t="s">
        <v>808</v>
      </c>
      <c r="H1634" s="24" t="s">
        <v>593</v>
      </c>
      <c r="I1634" s="24" t="s">
        <v>1833</v>
      </c>
      <c r="J1634" s="14" t="s">
        <v>47</v>
      </c>
      <c r="K1634" s="15" t="s">
        <v>578</v>
      </c>
      <c r="L1634" s="57"/>
      <c r="M1634" s="14"/>
      <c r="N1634" s="14" t="s">
        <v>84</v>
      </c>
      <c r="O1634" s="14"/>
      <c r="P1634" s="15" t="s">
        <v>1794</v>
      </c>
      <c r="Q1634" s="16">
        <v>15799</v>
      </c>
      <c r="R1634" s="17">
        <v>40</v>
      </c>
      <c r="S1634" s="18">
        <v>10901.31</v>
      </c>
      <c r="T1634" s="19" t="s">
        <v>36</v>
      </c>
      <c r="U1634" s="20" t="s">
        <v>877</v>
      </c>
      <c r="V1634" s="22">
        <v>43</v>
      </c>
      <c r="W1634" s="22">
        <v>4</v>
      </c>
      <c r="X1634" s="23"/>
    </row>
    <row r="1635" spans="1:24" s="1" customFormat="1" ht="21" customHeight="1" x14ac:dyDescent="0.3">
      <c r="A1635" s="24" t="s">
        <v>23</v>
      </c>
      <c r="B1635" s="24" t="s">
        <v>1957</v>
      </c>
      <c r="C1635" s="27" t="s">
        <v>1958</v>
      </c>
      <c r="D1635" s="54"/>
      <c r="E1635" s="39" t="str">
        <f>HYPERLINK("https://www.google.ru/search?q=6005279-016&amp;newwindow=1&amp;tbm=isch","Еще фото")</f>
        <v>Еще фото</v>
      </c>
      <c r="F1635" s="13" t="s">
        <v>98</v>
      </c>
      <c r="G1635" s="24" t="s">
        <v>808</v>
      </c>
      <c r="H1635" s="24" t="s">
        <v>593</v>
      </c>
      <c r="I1635" s="24" t="s">
        <v>1833</v>
      </c>
      <c r="J1635" s="14" t="s">
        <v>47</v>
      </c>
      <c r="K1635" s="15" t="s">
        <v>578</v>
      </c>
      <c r="L1635" s="57"/>
      <c r="M1635" s="14"/>
      <c r="N1635" s="14" t="s">
        <v>84</v>
      </c>
      <c r="O1635" s="14"/>
      <c r="P1635" s="15" t="s">
        <v>1794</v>
      </c>
      <c r="Q1635" s="16">
        <v>15799</v>
      </c>
      <c r="R1635" s="17">
        <v>40</v>
      </c>
      <c r="S1635" s="18">
        <v>10901.31</v>
      </c>
      <c r="T1635" s="19" t="s">
        <v>36</v>
      </c>
      <c r="U1635" s="20" t="s">
        <v>878</v>
      </c>
      <c r="V1635" s="28">
        <v>43.5</v>
      </c>
      <c r="W1635" s="22">
        <v>5</v>
      </c>
      <c r="X1635" s="23"/>
    </row>
    <row r="1636" spans="1:24" s="1" customFormat="1" ht="32.1" customHeight="1" x14ac:dyDescent="0.3">
      <c r="A1636" s="24" t="s">
        <v>23</v>
      </c>
      <c r="B1636" s="24" t="s">
        <v>1957</v>
      </c>
      <c r="C1636" s="27" t="s">
        <v>1958</v>
      </c>
      <c r="D1636" s="55"/>
      <c r="E1636" s="39" t="str">
        <f>HYPERLINK("https://www.google.ru/search?q=6005279-016&amp;newwindow=1&amp;tbm=isch","Еще фото")</f>
        <v>Еще фото</v>
      </c>
      <c r="F1636" s="13" t="s">
        <v>98</v>
      </c>
      <c r="G1636" s="24" t="s">
        <v>808</v>
      </c>
      <c r="H1636" s="24" t="s">
        <v>593</v>
      </c>
      <c r="I1636" s="24" t="s">
        <v>1833</v>
      </c>
      <c r="J1636" s="14" t="s">
        <v>47</v>
      </c>
      <c r="K1636" s="15" t="s">
        <v>578</v>
      </c>
      <c r="L1636" s="58"/>
      <c r="M1636" s="14"/>
      <c r="N1636" s="14" t="s">
        <v>84</v>
      </c>
      <c r="O1636" s="14"/>
      <c r="P1636" s="15" t="s">
        <v>1794</v>
      </c>
      <c r="Q1636" s="16">
        <v>15799</v>
      </c>
      <c r="R1636" s="17">
        <v>40</v>
      </c>
      <c r="S1636" s="18">
        <v>10901.31</v>
      </c>
      <c r="T1636" s="19" t="s">
        <v>36</v>
      </c>
      <c r="U1636" s="20" t="s">
        <v>879</v>
      </c>
      <c r="V1636" s="22">
        <v>44</v>
      </c>
      <c r="W1636" s="22">
        <v>9</v>
      </c>
      <c r="X1636" s="23"/>
    </row>
    <row r="1637" spans="1:24" s="1" customFormat="1" ht="11.1" customHeight="1" x14ac:dyDescent="0.3">
      <c r="A1637" s="11" t="s">
        <v>23</v>
      </c>
      <c r="B1637" s="11" t="s">
        <v>1957</v>
      </c>
      <c r="C1637" s="12" t="s">
        <v>1959</v>
      </c>
      <c r="D1637" s="53"/>
      <c r="E1637" s="39" t="str">
        <f t="shared" ref="E1637:E1648" si="44">HYPERLINK("https://www.google.ru/search?q=6005279-102&amp;newwindow=1&amp;tbm=isch","Еще фото")</f>
        <v>Еще фото</v>
      </c>
      <c r="F1637" s="13"/>
      <c r="G1637" s="11" t="s">
        <v>808</v>
      </c>
      <c r="H1637" s="11" t="s">
        <v>593</v>
      </c>
      <c r="I1637" s="14" t="s">
        <v>1833</v>
      </c>
      <c r="J1637" s="14" t="s">
        <v>47</v>
      </c>
      <c r="K1637" s="15" t="s">
        <v>578</v>
      </c>
      <c r="L1637" s="56"/>
      <c r="M1637" s="14"/>
      <c r="N1637" s="14" t="s">
        <v>74</v>
      </c>
      <c r="O1637" s="14"/>
      <c r="P1637" s="15" t="s">
        <v>1794</v>
      </c>
      <c r="Q1637" s="16">
        <v>15799</v>
      </c>
      <c r="R1637" s="17">
        <v>40</v>
      </c>
      <c r="S1637" s="18">
        <v>10901.31</v>
      </c>
      <c r="T1637" s="19" t="s">
        <v>36</v>
      </c>
      <c r="U1637" s="20" t="s">
        <v>1671</v>
      </c>
      <c r="V1637" s="22">
        <v>38</v>
      </c>
      <c r="W1637" s="22">
        <v>1</v>
      </c>
      <c r="X1637" s="23"/>
    </row>
    <row r="1638" spans="1:24" s="1" customFormat="1" ht="11.1" customHeight="1" x14ac:dyDescent="0.3">
      <c r="A1638" s="24" t="s">
        <v>23</v>
      </c>
      <c r="B1638" s="24" t="s">
        <v>1957</v>
      </c>
      <c r="C1638" s="12" t="s">
        <v>1959</v>
      </c>
      <c r="D1638" s="54"/>
      <c r="E1638" s="39" t="str">
        <f t="shared" si="44"/>
        <v>Еще фото</v>
      </c>
      <c r="F1638" s="13"/>
      <c r="G1638" s="24" t="s">
        <v>808</v>
      </c>
      <c r="H1638" s="24" t="s">
        <v>593</v>
      </c>
      <c r="I1638" s="24" t="s">
        <v>1833</v>
      </c>
      <c r="J1638" s="14" t="s">
        <v>47</v>
      </c>
      <c r="K1638" s="15" t="s">
        <v>578</v>
      </c>
      <c r="L1638" s="57"/>
      <c r="M1638" s="14"/>
      <c r="N1638" s="14" t="s">
        <v>74</v>
      </c>
      <c r="O1638" s="14"/>
      <c r="P1638" s="15" t="s">
        <v>1794</v>
      </c>
      <c r="Q1638" s="16">
        <v>15799</v>
      </c>
      <c r="R1638" s="17">
        <v>40</v>
      </c>
      <c r="S1638" s="18">
        <v>10901.31</v>
      </c>
      <c r="T1638" s="19" t="s">
        <v>36</v>
      </c>
      <c r="U1638" s="20" t="s">
        <v>955</v>
      </c>
      <c r="V1638" s="22">
        <v>39</v>
      </c>
      <c r="W1638" s="22">
        <v>2</v>
      </c>
      <c r="X1638" s="23"/>
    </row>
    <row r="1639" spans="1:24" s="1" customFormat="1" ht="11.1" customHeight="1" x14ac:dyDescent="0.3">
      <c r="A1639" s="24" t="s">
        <v>23</v>
      </c>
      <c r="B1639" s="24" t="s">
        <v>1957</v>
      </c>
      <c r="C1639" s="12" t="s">
        <v>1959</v>
      </c>
      <c r="D1639" s="54"/>
      <c r="E1639" s="39" t="str">
        <f t="shared" si="44"/>
        <v>Еще фото</v>
      </c>
      <c r="F1639" s="13"/>
      <c r="G1639" s="24" t="s">
        <v>808</v>
      </c>
      <c r="H1639" s="24" t="s">
        <v>593</v>
      </c>
      <c r="I1639" s="24" t="s">
        <v>1833</v>
      </c>
      <c r="J1639" s="14" t="s">
        <v>47</v>
      </c>
      <c r="K1639" s="15" t="s">
        <v>578</v>
      </c>
      <c r="L1639" s="57"/>
      <c r="M1639" s="14"/>
      <c r="N1639" s="14" t="s">
        <v>74</v>
      </c>
      <c r="O1639" s="14"/>
      <c r="P1639" s="15" t="s">
        <v>1794</v>
      </c>
      <c r="Q1639" s="16">
        <v>15799</v>
      </c>
      <c r="R1639" s="17">
        <v>40</v>
      </c>
      <c r="S1639" s="18">
        <v>10901.31</v>
      </c>
      <c r="T1639" s="19" t="s">
        <v>36</v>
      </c>
      <c r="U1639" s="20" t="s">
        <v>943</v>
      </c>
      <c r="V1639" s="28">
        <v>39.5</v>
      </c>
      <c r="W1639" s="22">
        <v>1</v>
      </c>
      <c r="X1639" s="23"/>
    </row>
    <row r="1640" spans="1:24" s="1" customFormat="1" ht="11.1" customHeight="1" x14ac:dyDescent="0.3">
      <c r="A1640" s="24" t="s">
        <v>23</v>
      </c>
      <c r="B1640" s="24" t="s">
        <v>1957</v>
      </c>
      <c r="C1640" s="12" t="s">
        <v>1959</v>
      </c>
      <c r="D1640" s="54"/>
      <c r="E1640" s="39" t="str">
        <f t="shared" si="44"/>
        <v>Еще фото</v>
      </c>
      <c r="F1640" s="13"/>
      <c r="G1640" s="24" t="s">
        <v>808</v>
      </c>
      <c r="H1640" s="24" t="s">
        <v>593</v>
      </c>
      <c r="I1640" s="24" t="s">
        <v>1833</v>
      </c>
      <c r="J1640" s="14" t="s">
        <v>47</v>
      </c>
      <c r="K1640" s="15" t="s">
        <v>578</v>
      </c>
      <c r="L1640" s="57"/>
      <c r="M1640" s="14"/>
      <c r="N1640" s="14" t="s">
        <v>74</v>
      </c>
      <c r="O1640" s="14"/>
      <c r="P1640" s="15" t="s">
        <v>1794</v>
      </c>
      <c r="Q1640" s="16">
        <v>15799</v>
      </c>
      <c r="R1640" s="17">
        <v>40</v>
      </c>
      <c r="S1640" s="18">
        <v>10901.31</v>
      </c>
      <c r="T1640" s="19" t="s">
        <v>36</v>
      </c>
      <c r="U1640" s="20" t="s">
        <v>944</v>
      </c>
      <c r="V1640" s="22">
        <v>40</v>
      </c>
      <c r="W1640" s="22">
        <v>1</v>
      </c>
      <c r="X1640" s="23"/>
    </row>
    <row r="1641" spans="1:24" s="1" customFormat="1" ht="11.1" customHeight="1" x14ac:dyDescent="0.3">
      <c r="A1641" s="24" t="s">
        <v>23</v>
      </c>
      <c r="B1641" s="24" t="s">
        <v>1957</v>
      </c>
      <c r="C1641" s="12" t="s">
        <v>1959</v>
      </c>
      <c r="D1641" s="54"/>
      <c r="E1641" s="39" t="str">
        <f t="shared" si="44"/>
        <v>Еще фото</v>
      </c>
      <c r="F1641" s="13"/>
      <c r="G1641" s="24" t="s">
        <v>808</v>
      </c>
      <c r="H1641" s="24" t="s">
        <v>593</v>
      </c>
      <c r="I1641" s="24" t="s">
        <v>1833</v>
      </c>
      <c r="J1641" s="14" t="s">
        <v>47</v>
      </c>
      <c r="K1641" s="15" t="s">
        <v>578</v>
      </c>
      <c r="L1641" s="57"/>
      <c r="M1641" s="14"/>
      <c r="N1641" s="14" t="s">
        <v>74</v>
      </c>
      <c r="O1641" s="14"/>
      <c r="P1641" s="15" t="s">
        <v>1794</v>
      </c>
      <c r="Q1641" s="16">
        <v>15799</v>
      </c>
      <c r="R1641" s="17">
        <v>40</v>
      </c>
      <c r="S1641" s="18">
        <v>10901.31</v>
      </c>
      <c r="T1641" s="19" t="s">
        <v>36</v>
      </c>
      <c r="U1641" s="20" t="s">
        <v>945</v>
      </c>
      <c r="V1641" s="22">
        <v>41</v>
      </c>
      <c r="W1641" s="22">
        <v>6</v>
      </c>
      <c r="X1641" s="23"/>
    </row>
    <row r="1642" spans="1:24" s="1" customFormat="1" ht="11.1" customHeight="1" x14ac:dyDescent="0.3">
      <c r="A1642" s="24" t="s">
        <v>23</v>
      </c>
      <c r="B1642" s="24" t="s">
        <v>1957</v>
      </c>
      <c r="C1642" s="12" t="s">
        <v>1959</v>
      </c>
      <c r="D1642" s="54"/>
      <c r="E1642" s="39" t="str">
        <f t="shared" si="44"/>
        <v>Еще фото</v>
      </c>
      <c r="F1642" s="13"/>
      <c r="G1642" s="24" t="s">
        <v>808</v>
      </c>
      <c r="H1642" s="24" t="s">
        <v>593</v>
      </c>
      <c r="I1642" s="24" t="s">
        <v>1833</v>
      </c>
      <c r="J1642" s="14" t="s">
        <v>47</v>
      </c>
      <c r="K1642" s="15" t="s">
        <v>578</v>
      </c>
      <c r="L1642" s="57"/>
      <c r="M1642" s="14"/>
      <c r="N1642" s="14" t="s">
        <v>74</v>
      </c>
      <c r="O1642" s="14"/>
      <c r="P1642" s="15" t="s">
        <v>1794</v>
      </c>
      <c r="Q1642" s="16">
        <v>15799</v>
      </c>
      <c r="R1642" s="17">
        <v>40</v>
      </c>
      <c r="S1642" s="18">
        <v>10901.31</v>
      </c>
      <c r="T1642" s="19" t="s">
        <v>36</v>
      </c>
      <c r="U1642" s="20" t="s">
        <v>875</v>
      </c>
      <c r="V1642" s="28">
        <v>41.5</v>
      </c>
      <c r="W1642" s="22">
        <v>4</v>
      </c>
      <c r="X1642" s="23"/>
    </row>
    <row r="1643" spans="1:24" s="1" customFormat="1" ht="11.1" customHeight="1" x14ac:dyDescent="0.3">
      <c r="A1643" s="24" t="s">
        <v>23</v>
      </c>
      <c r="B1643" s="24" t="s">
        <v>1957</v>
      </c>
      <c r="C1643" s="12" t="s">
        <v>1959</v>
      </c>
      <c r="D1643" s="54"/>
      <c r="E1643" s="39" t="str">
        <f t="shared" si="44"/>
        <v>Еще фото</v>
      </c>
      <c r="F1643" s="13"/>
      <c r="G1643" s="24" t="s">
        <v>808</v>
      </c>
      <c r="H1643" s="24" t="s">
        <v>593</v>
      </c>
      <c r="I1643" s="24" t="s">
        <v>1833</v>
      </c>
      <c r="J1643" s="14" t="s">
        <v>47</v>
      </c>
      <c r="K1643" s="15" t="s">
        <v>578</v>
      </c>
      <c r="L1643" s="57"/>
      <c r="M1643" s="14"/>
      <c r="N1643" s="14" t="s">
        <v>74</v>
      </c>
      <c r="O1643" s="14"/>
      <c r="P1643" s="15" t="s">
        <v>1794</v>
      </c>
      <c r="Q1643" s="16">
        <v>15799</v>
      </c>
      <c r="R1643" s="17">
        <v>40</v>
      </c>
      <c r="S1643" s="18">
        <v>10901.31</v>
      </c>
      <c r="T1643" s="19" t="s">
        <v>36</v>
      </c>
      <c r="U1643" s="20" t="s">
        <v>876</v>
      </c>
      <c r="V1643" s="22">
        <v>42</v>
      </c>
      <c r="W1643" s="22">
        <v>7</v>
      </c>
      <c r="X1643" s="23"/>
    </row>
    <row r="1644" spans="1:24" s="1" customFormat="1" ht="11.1" customHeight="1" x14ac:dyDescent="0.3">
      <c r="A1644" s="24" t="s">
        <v>23</v>
      </c>
      <c r="B1644" s="24" t="s">
        <v>1957</v>
      </c>
      <c r="C1644" s="12" t="s">
        <v>1959</v>
      </c>
      <c r="D1644" s="54"/>
      <c r="E1644" s="39" t="str">
        <f t="shared" si="44"/>
        <v>Еще фото</v>
      </c>
      <c r="F1644" s="13"/>
      <c r="G1644" s="24" t="s">
        <v>808</v>
      </c>
      <c r="H1644" s="24" t="s">
        <v>593</v>
      </c>
      <c r="I1644" s="24" t="s">
        <v>1833</v>
      </c>
      <c r="J1644" s="14" t="s">
        <v>47</v>
      </c>
      <c r="K1644" s="15" t="s">
        <v>578</v>
      </c>
      <c r="L1644" s="57"/>
      <c r="M1644" s="14"/>
      <c r="N1644" s="14" t="s">
        <v>74</v>
      </c>
      <c r="O1644" s="14"/>
      <c r="P1644" s="15" t="s">
        <v>1794</v>
      </c>
      <c r="Q1644" s="16">
        <v>15799</v>
      </c>
      <c r="R1644" s="17">
        <v>40</v>
      </c>
      <c r="S1644" s="18">
        <v>10901.31</v>
      </c>
      <c r="T1644" s="19" t="s">
        <v>36</v>
      </c>
      <c r="U1644" s="20" t="s">
        <v>877</v>
      </c>
      <c r="V1644" s="22">
        <v>43</v>
      </c>
      <c r="W1644" s="22">
        <v>7</v>
      </c>
      <c r="X1644" s="23"/>
    </row>
    <row r="1645" spans="1:24" s="1" customFormat="1" ht="11.1" customHeight="1" x14ac:dyDescent="0.3">
      <c r="A1645" s="24" t="s">
        <v>23</v>
      </c>
      <c r="B1645" s="24" t="s">
        <v>1957</v>
      </c>
      <c r="C1645" s="12" t="s">
        <v>1959</v>
      </c>
      <c r="D1645" s="54"/>
      <c r="E1645" s="39" t="str">
        <f t="shared" si="44"/>
        <v>Еще фото</v>
      </c>
      <c r="F1645" s="13"/>
      <c r="G1645" s="24" t="s">
        <v>808</v>
      </c>
      <c r="H1645" s="24" t="s">
        <v>593</v>
      </c>
      <c r="I1645" s="24" t="s">
        <v>1833</v>
      </c>
      <c r="J1645" s="14" t="s">
        <v>47</v>
      </c>
      <c r="K1645" s="15" t="s">
        <v>578</v>
      </c>
      <c r="L1645" s="57"/>
      <c r="M1645" s="14"/>
      <c r="N1645" s="14" t="s">
        <v>74</v>
      </c>
      <c r="O1645" s="14"/>
      <c r="P1645" s="15" t="s">
        <v>1794</v>
      </c>
      <c r="Q1645" s="16">
        <v>15799</v>
      </c>
      <c r="R1645" s="17">
        <v>40</v>
      </c>
      <c r="S1645" s="18">
        <v>10901.31</v>
      </c>
      <c r="T1645" s="19" t="s">
        <v>36</v>
      </c>
      <c r="U1645" s="20" t="s">
        <v>878</v>
      </c>
      <c r="V1645" s="28">
        <v>43.5</v>
      </c>
      <c r="W1645" s="22">
        <v>13</v>
      </c>
      <c r="X1645" s="23"/>
    </row>
    <row r="1646" spans="1:24" s="1" customFormat="1" ht="11.1" customHeight="1" x14ac:dyDescent="0.3">
      <c r="A1646" s="14" t="s">
        <v>23</v>
      </c>
      <c r="B1646" s="14" t="s">
        <v>1957</v>
      </c>
      <c r="C1646" s="12" t="s">
        <v>1959</v>
      </c>
      <c r="D1646" s="54"/>
      <c r="E1646" s="39" t="str">
        <f t="shared" si="44"/>
        <v>Еще фото</v>
      </c>
      <c r="F1646" s="29"/>
      <c r="G1646" s="14" t="s">
        <v>808</v>
      </c>
      <c r="H1646" s="14" t="s">
        <v>593</v>
      </c>
      <c r="I1646" s="14" t="s">
        <v>1833</v>
      </c>
      <c r="J1646" s="14" t="s">
        <v>47</v>
      </c>
      <c r="K1646" s="14" t="s">
        <v>578</v>
      </c>
      <c r="L1646" s="57"/>
      <c r="M1646" s="14"/>
      <c r="N1646" s="14" t="s">
        <v>74</v>
      </c>
      <c r="O1646" s="14"/>
      <c r="P1646" s="14" t="s">
        <v>1794</v>
      </c>
      <c r="Q1646" s="30">
        <v>15799</v>
      </c>
      <c r="R1646" s="31">
        <v>40</v>
      </c>
      <c r="S1646" s="32">
        <v>10901.31</v>
      </c>
      <c r="T1646" s="19" t="s">
        <v>36</v>
      </c>
      <c r="U1646" s="20" t="s">
        <v>879</v>
      </c>
      <c r="V1646" s="22">
        <v>44</v>
      </c>
      <c r="W1646" s="22">
        <v>15</v>
      </c>
      <c r="X1646" s="23"/>
    </row>
    <row r="1647" spans="1:24" s="1" customFormat="1" ht="11.1" customHeight="1" x14ac:dyDescent="0.3">
      <c r="A1647" s="14" t="s">
        <v>23</v>
      </c>
      <c r="B1647" s="14" t="s">
        <v>1957</v>
      </c>
      <c r="C1647" s="12" t="s">
        <v>1959</v>
      </c>
      <c r="D1647" s="54"/>
      <c r="E1647" s="39" t="str">
        <f t="shared" si="44"/>
        <v>Еще фото</v>
      </c>
      <c r="F1647" s="29"/>
      <c r="G1647" s="14" t="s">
        <v>808</v>
      </c>
      <c r="H1647" s="14" t="s">
        <v>593</v>
      </c>
      <c r="I1647" s="14" t="s">
        <v>1833</v>
      </c>
      <c r="J1647" s="14" t="s">
        <v>47</v>
      </c>
      <c r="K1647" s="14" t="s">
        <v>578</v>
      </c>
      <c r="L1647" s="57"/>
      <c r="M1647" s="14"/>
      <c r="N1647" s="14" t="s">
        <v>74</v>
      </c>
      <c r="O1647" s="14"/>
      <c r="P1647" s="14" t="s">
        <v>1794</v>
      </c>
      <c r="Q1647" s="30">
        <v>15799</v>
      </c>
      <c r="R1647" s="31">
        <v>40</v>
      </c>
      <c r="S1647" s="32">
        <v>10901.31</v>
      </c>
      <c r="T1647" s="19" t="s">
        <v>36</v>
      </c>
      <c r="U1647" s="20" t="s">
        <v>880</v>
      </c>
      <c r="V1647" s="28">
        <v>44.5</v>
      </c>
      <c r="W1647" s="22">
        <v>8</v>
      </c>
      <c r="X1647" s="23"/>
    </row>
    <row r="1648" spans="1:24" s="1" customFormat="1" ht="11.1" customHeight="1" x14ac:dyDescent="0.3">
      <c r="A1648" s="14" t="s">
        <v>23</v>
      </c>
      <c r="B1648" s="14" t="s">
        <v>1957</v>
      </c>
      <c r="C1648" s="12" t="s">
        <v>1959</v>
      </c>
      <c r="D1648" s="55"/>
      <c r="E1648" s="39" t="str">
        <f t="shared" si="44"/>
        <v>Еще фото</v>
      </c>
      <c r="F1648" s="29"/>
      <c r="G1648" s="14" t="s">
        <v>808</v>
      </c>
      <c r="H1648" s="14" t="s">
        <v>593</v>
      </c>
      <c r="I1648" s="14" t="s">
        <v>1833</v>
      </c>
      <c r="J1648" s="14" t="s">
        <v>47</v>
      </c>
      <c r="K1648" s="14" t="s">
        <v>578</v>
      </c>
      <c r="L1648" s="58"/>
      <c r="M1648" s="14"/>
      <c r="N1648" s="14" t="s">
        <v>74</v>
      </c>
      <c r="O1648" s="14"/>
      <c r="P1648" s="14" t="s">
        <v>1794</v>
      </c>
      <c r="Q1648" s="30">
        <v>15799</v>
      </c>
      <c r="R1648" s="31">
        <v>40</v>
      </c>
      <c r="S1648" s="32">
        <v>10901.31</v>
      </c>
      <c r="T1648" s="19" t="s">
        <v>36</v>
      </c>
      <c r="U1648" s="20" t="s">
        <v>1848</v>
      </c>
      <c r="V1648" s="22">
        <v>45</v>
      </c>
      <c r="W1648" s="22">
        <v>9</v>
      </c>
      <c r="X1648" s="23"/>
    </row>
    <row r="1649" spans="1:24" s="1" customFormat="1" ht="35.1" customHeight="1" x14ac:dyDescent="0.3">
      <c r="A1649" s="11" t="s">
        <v>23</v>
      </c>
      <c r="B1649" s="11" t="s">
        <v>1960</v>
      </c>
      <c r="C1649" s="12" t="s">
        <v>1961</v>
      </c>
      <c r="D1649" s="53"/>
      <c r="E1649" s="39" t="str">
        <f>HYPERLINK("https://www.google.ru/search?q=6005280-001&amp;newwindow=1&amp;tbm=isch","Еще фото")</f>
        <v>Еще фото</v>
      </c>
      <c r="F1649" s="13" t="s">
        <v>98</v>
      </c>
      <c r="G1649" s="11" t="s">
        <v>808</v>
      </c>
      <c r="H1649" s="11" t="s">
        <v>593</v>
      </c>
      <c r="I1649" s="14" t="s">
        <v>1833</v>
      </c>
      <c r="J1649" s="14" t="s">
        <v>47</v>
      </c>
      <c r="K1649" s="15" t="s">
        <v>578</v>
      </c>
      <c r="L1649" s="56" t="s">
        <v>1962</v>
      </c>
      <c r="M1649" s="14" t="s">
        <v>824</v>
      </c>
      <c r="N1649" s="14" t="s">
        <v>33</v>
      </c>
      <c r="O1649" s="14"/>
      <c r="P1649" s="15" t="s">
        <v>1314</v>
      </c>
      <c r="Q1649" s="16">
        <v>17099</v>
      </c>
      <c r="R1649" s="17">
        <v>40</v>
      </c>
      <c r="S1649" s="18">
        <v>11798.31</v>
      </c>
      <c r="T1649" s="19" t="s">
        <v>36</v>
      </c>
      <c r="U1649" s="20" t="s">
        <v>955</v>
      </c>
      <c r="V1649" s="22">
        <v>39</v>
      </c>
      <c r="W1649" s="22">
        <v>1</v>
      </c>
      <c r="X1649" s="23"/>
    </row>
    <row r="1650" spans="1:24" s="1" customFormat="1" ht="35.1" customHeight="1" x14ac:dyDescent="0.3">
      <c r="A1650" s="24" t="s">
        <v>23</v>
      </c>
      <c r="B1650" s="24" t="s">
        <v>1960</v>
      </c>
      <c r="C1650" s="12" t="s">
        <v>1961</v>
      </c>
      <c r="D1650" s="54"/>
      <c r="E1650" s="39" t="str">
        <f>HYPERLINK("https://www.google.ru/search?q=6005280-001&amp;newwindow=1&amp;tbm=isch","Еще фото")</f>
        <v>Еще фото</v>
      </c>
      <c r="F1650" s="13" t="s">
        <v>98</v>
      </c>
      <c r="G1650" s="24" t="s">
        <v>808</v>
      </c>
      <c r="H1650" s="24" t="s">
        <v>593</v>
      </c>
      <c r="I1650" s="24" t="s">
        <v>1833</v>
      </c>
      <c r="J1650" s="14" t="s">
        <v>47</v>
      </c>
      <c r="K1650" s="15" t="s">
        <v>578</v>
      </c>
      <c r="L1650" s="57"/>
      <c r="M1650" s="14" t="s">
        <v>824</v>
      </c>
      <c r="N1650" s="14" t="s">
        <v>33</v>
      </c>
      <c r="O1650" s="14"/>
      <c r="P1650" s="15" t="s">
        <v>1314</v>
      </c>
      <c r="Q1650" s="16">
        <v>17099</v>
      </c>
      <c r="R1650" s="17">
        <v>40</v>
      </c>
      <c r="S1650" s="18">
        <v>11798.31</v>
      </c>
      <c r="T1650" s="19" t="s">
        <v>36</v>
      </c>
      <c r="U1650" s="20" t="s">
        <v>876</v>
      </c>
      <c r="V1650" s="22">
        <v>42</v>
      </c>
      <c r="W1650" s="22">
        <v>1</v>
      </c>
      <c r="X1650" s="23"/>
    </row>
    <row r="1651" spans="1:24" s="1" customFormat="1" ht="36.950000000000003" customHeight="1" x14ac:dyDescent="0.3">
      <c r="A1651" s="24" t="s">
        <v>23</v>
      </c>
      <c r="B1651" s="24" t="s">
        <v>1960</v>
      </c>
      <c r="C1651" s="12" t="s">
        <v>1961</v>
      </c>
      <c r="D1651" s="55"/>
      <c r="E1651" s="39" t="str">
        <f>HYPERLINK("https://www.google.ru/search?q=6005280-001&amp;newwindow=1&amp;tbm=isch","Еще фото")</f>
        <v>Еще фото</v>
      </c>
      <c r="F1651" s="13" t="s">
        <v>98</v>
      </c>
      <c r="G1651" s="24" t="s">
        <v>808</v>
      </c>
      <c r="H1651" s="24" t="s">
        <v>593</v>
      </c>
      <c r="I1651" s="24" t="s">
        <v>1833</v>
      </c>
      <c r="J1651" s="14" t="s">
        <v>47</v>
      </c>
      <c r="K1651" s="15" t="s">
        <v>578</v>
      </c>
      <c r="L1651" s="58"/>
      <c r="M1651" s="14" t="s">
        <v>824</v>
      </c>
      <c r="N1651" s="14" t="s">
        <v>33</v>
      </c>
      <c r="O1651" s="14"/>
      <c r="P1651" s="15" t="s">
        <v>1314</v>
      </c>
      <c r="Q1651" s="16">
        <v>17099</v>
      </c>
      <c r="R1651" s="17">
        <v>40</v>
      </c>
      <c r="S1651" s="18">
        <v>11798.31</v>
      </c>
      <c r="T1651" s="19" t="s">
        <v>36</v>
      </c>
      <c r="U1651" s="20" t="s">
        <v>877</v>
      </c>
      <c r="V1651" s="22">
        <v>43</v>
      </c>
      <c r="W1651" s="22">
        <v>1</v>
      </c>
      <c r="X1651" s="23"/>
    </row>
    <row r="1652" spans="1:24" s="1" customFormat="1" ht="21" customHeight="1" x14ac:dyDescent="0.3">
      <c r="A1652" s="11" t="s">
        <v>23</v>
      </c>
      <c r="B1652" s="11" t="s">
        <v>1960</v>
      </c>
      <c r="C1652" s="26" t="s">
        <v>1963</v>
      </c>
      <c r="D1652" s="53"/>
      <c r="E1652" s="39" t="str">
        <f>HYPERLINK("https://www.google.ru/search?q=6005280-014&amp;newwindow=1&amp;tbm=isch","Еще фото")</f>
        <v>Еще фото</v>
      </c>
      <c r="F1652" s="13" t="s">
        <v>98</v>
      </c>
      <c r="G1652" s="11" t="s">
        <v>808</v>
      </c>
      <c r="H1652" s="11" t="s">
        <v>593</v>
      </c>
      <c r="I1652" s="14" t="s">
        <v>1833</v>
      </c>
      <c r="J1652" s="14" t="s">
        <v>47</v>
      </c>
      <c r="K1652" s="15" t="s">
        <v>578</v>
      </c>
      <c r="L1652" s="56" t="s">
        <v>1962</v>
      </c>
      <c r="M1652" s="14"/>
      <c r="N1652" s="14" t="s">
        <v>84</v>
      </c>
      <c r="O1652" s="14"/>
      <c r="P1652" s="15" t="s">
        <v>919</v>
      </c>
      <c r="Q1652" s="16">
        <v>17099</v>
      </c>
      <c r="R1652" s="17">
        <v>40</v>
      </c>
      <c r="S1652" s="18">
        <v>11798.31</v>
      </c>
      <c r="T1652" s="19" t="s">
        <v>36</v>
      </c>
      <c r="U1652" s="20" t="s">
        <v>945</v>
      </c>
      <c r="V1652" s="22">
        <v>41</v>
      </c>
      <c r="W1652" s="22">
        <v>4</v>
      </c>
      <c r="X1652" s="23"/>
    </row>
    <row r="1653" spans="1:24" s="1" customFormat="1" ht="21" customHeight="1" x14ac:dyDescent="0.3">
      <c r="A1653" s="24" t="s">
        <v>23</v>
      </c>
      <c r="B1653" s="24" t="s">
        <v>1960</v>
      </c>
      <c r="C1653" s="27" t="s">
        <v>1963</v>
      </c>
      <c r="D1653" s="54"/>
      <c r="E1653" s="39" t="str">
        <f>HYPERLINK("https://www.google.ru/search?q=6005280-014&amp;newwindow=1&amp;tbm=isch","Еще фото")</f>
        <v>Еще фото</v>
      </c>
      <c r="F1653" s="13" t="s">
        <v>98</v>
      </c>
      <c r="G1653" s="24" t="s">
        <v>808</v>
      </c>
      <c r="H1653" s="24" t="s">
        <v>593</v>
      </c>
      <c r="I1653" s="24" t="s">
        <v>1833</v>
      </c>
      <c r="J1653" s="14" t="s">
        <v>47</v>
      </c>
      <c r="K1653" s="15" t="s">
        <v>578</v>
      </c>
      <c r="L1653" s="57"/>
      <c r="M1653" s="14"/>
      <c r="N1653" s="14" t="s">
        <v>84</v>
      </c>
      <c r="O1653" s="14"/>
      <c r="P1653" s="15" t="s">
        <v>919</v>
      </c>
      <c r="Q1653" s="16">
        <v>17099</v>
      </c>
      <c r="R1653" s="17">
        <v>40</v>
      </c>
      <c r="S1653" s="18">
        <v>11798.31</v>
      </c>
      <c r="T1653" s="19" t="s">
        <v>36</v>
      </c>
      <c r="U1653" s="20" t="s">
        <v>876</v>
      </c>
      <c r="V1653" s="22">
        <v>42</v>
      </c>
      <c r="W1653" s="22">
        <v>2</v>
      </c>
      <c r="X1653" s="23"/>
    </row>
    <row r="1654" spans="1:24" s="1" customFormat="1" ht="21" customHeight="1" x14ac:dyDescent="0.3">
      <c r="A1654" s="24" t="s">
        <v>23</v>
      </c>
      <c r="B1654" s="24" t="s">
        <v>1960</v>
      </c>
      <c r="C1654" s="27" t="s">
        <v>1963</v>
      </c>
      <c r="D1654" s="54"/>
      <c r="E1654" s="39" t="str">
        <f>HYPERLINK("https://www.google.ru/search?q=6005280-014&amp;newwindow=1&amp;tbm=isch","Еще фото")</f>
        <v>Еще фото</v>
      </c>
      <c r="F1654" s="13" t="s">
        <v>98</v>
      </c>
      <c r="G1654" s="24" t="s">
        <v>808</v>
      </c>
      <c r="H1654" s="24" t="s">
        <v>593</v>
      </c>
      <c r="I1654" s="24" t="s">
        <v>1833</v>
      </c>
      <c r="J1654" s="14" t="s">
        <v>47</v>
      </c>
      <c r="K1654" s="15" t="s">
        <v>578</v>
      </c>
      <c r="L1654" s="57"/>
      <c r="M1654" s="14"/>
      <c r="N1654" s="14" t="s">
        <v>84</v>
      </c>
      <c r="O1654" s="14"/>
      <c r="P1654" s="15" t="s">
        <v>919</v>
      </c>
      <c r="Q1654" s="16">
        <v>17099</v>
      </c>
      <c r="R1654" s="17">
        <v>40</v>
      </c>
      <c r="S1654" s="18">
        <v>11798.31</v>
      </c>
      <c r="T1654" s="19" t="s">
        <v>36</v>
      </c>
      <c r="U1654" s="20" t="s">
        <v>877</v>
      </c>
      <c r="V1654" s="22">
        <v>43</v>
      </c>
      <c r="W1654" s="22">
        <v>1</v>
      </c>
      <c r="X1654" s="23"/>
    </row>
    <row r="1655" spans="1:24" s="1" customFormat="1" ht="21" customHeight="1" x14ac:dyDescent="0.3">
      <c r="A1655" s="24" t="s">
        <v>23</v>
      </c>
      <c r="B1655" s="24" t="s">
        <v>1960</v>
      </c>
      <c r="C1655" s="27" t="s">
        <v>1963</v>
      </c>
      <c r="D1655" s="54"/>
      <c r="E1655" s="39" t="str">
        <f>HYPERLINK("https://www.google.ru/search?q=6005280-014&amp;newwindow=1&amp;tbm=isch","Еще фото")</f>
        <v>Еще фото</v>
      </c>
      <c r="F1655" s="13" t="s">
        <v>98</v>
      </c>
      <c r="G1655" s="24" t="s">
        <v>808</v>
      </c>
      <c r="H1655" s="24" t="s">
        <v>593</v>
      </c>
      <c r="I1655" s="24" t="s">
        <v>1833</v>
      </c>
      <c r="J1655" s="14" t="s">
        <v>47</v>
      </c>
      <c r="K1655" s="15" t="s">
        <v>578</v>
      </c>
      <c r="L1655" s="57"/>
      <c r="M1655" s="14"/>
      <c r="N1655" s="14" t="s">
        <v>84</v>
      </c>
      <c r="O1655" s="14"/>
      <c r="P1655" s="15" t="s">
        <v>919</v>
      </c>
      <c r="Q1655" s="16">
        <v>17099</v>
      </c>
      <c r="R1655" s="17">
        <v>40</v>
      </c>
      <c r="S1655" s="18">
        <v>11798.31</v>
      </c>
      <c r="T1655" s="19" t="s">
        <v>36</v>
      </c>
      <c r="U1655" s="20" t="s">
        <v>878</v>
      </c>
      <c r="V1655" s="28">
        <v>43.5</v>
      </c>
      <c r="W1655" s="22">
        <v>3</v>
      </c>
      <c r="X1655" s="23"/>
    </row>
    <row r="1656" spans="1:24" s="1" customFormat="1" ht="32.1" customHeight="1" x14ac:dyDescent="0.3">
      <c r="A1656" s="24" t="s">
        <v>23</v>
      </c>
      <c r="B1656" s="24" t="s">
        <v>1960</v>
      </c>
      <c r="C1656" s="27" t="s">
        <v>1963</v>
      </c>
      <c r="D1656" s="55"/>
      <c r="E1656" s="39" t="str">
        <f>HYPERLINK("https://www.google.ru/search?q=6005280-014&amp;newwindow=1&amp;tbm=isch","Еще фото")</f>
        <v>Еще фото</v>
      </c>
      <c r="F1656" s="13" t="s">
        <v>98</v>
      </c>
      <c r="G1656" s="24" t="s">
        <v>808</v>
      </c>
      <c r="H1656" s="24" t="s">
        <v>593</v>
      </c>
      <c r="I1656" s="24" t="s">
        <v>1833</v>
      </c>
      <c r="J1656" s="14" t="s">
        <v>47</v>
      </c>
      <c r="K1656" s="15" t="s">
        <v>578</v>
      </c>
      <c r="L1656" s="58"/>
      <c r="M1656" s="14"/>
      <c r="N1656" s="14" t="s">
        <v>84</v>
      </c>
      <c r="O1656" s="14"/>
      <c r="P1656" s="15" t="s">
        <v>919</v>
      </c>
      <c r="Q1656" s="16">
        <v>17099</v>
      </c>
      <c r="R1656" s="17">
        <v>40</v>
      </c>
      <c r="S1656" s="18">
        <v>11798.31</v>
      </c>
      <c r="T1656" s="19" t="s">
        <v>36</v>
      </c>
      <c r="U1656" s="20" t="s">
        <v>880</v>
      </c>
      <c r="V1656" s="28">
        <v>44.5</v>
      </c>
      <c r="W1656" s="22">
        <v>2</v>
      </c>
      <c r="X1656" s="23"/>
    </row>
    <row r="1657" spans="1:24" s="1" customFormat="1" ht="11.1" customHeight="1" x14ac:dyDescent="0.3">
      <c r="A1657" s="11" t="s">
        <v>23</v>
      </c>
      <c r="B1657" s="11" t="s">
        <v>1960</v>
      </c>
      <c r="C1657" s="12" t="s">
        <v>1964</v>
      </c>
      <c r="D1657" s="53"/>
      <c r="E1657" s="39" t="str">
        <f t="shared" ref="E1657:E1668" si="45">HYPERLINK("https://www.google.ru/search?q=6005280-102&amp;newwindow=1&amp;tbm=isch","Еще фото")</f>
        <v>Еще фото</v>
      </c>
      <c r="F1657" s="13" t="s">
        <v>98</v>
      </c>
      <c r="G1657" s="11" t="s">
        <v>808</v>
      </c>
      <c r="H1657" s="11" t="s">
        <v>593</v>
      </c>
      <c r="I1657" s="14" t="s">
        <v>1833</v>
      </c>
      <c r="J1657" s="14" t="s">
        <v>47</v>
      </c>
      <c r="K1657" s="15" t="s">
        <v>578</v>
      </c>
      <c r="L1657" s="56" t="s">
        <v>1962</v>
      </c>
      <c r="M1657" s="14"/>
      <c r="N1657" s="14" t="s">
        <v>1965</v>
      </c>
      <c r="O1657" s="14"/>
      <c r="P1657" s="15" t="s">
        <v>1314</v>
      </c>
      <c r="Q1657" s="16">
        <v>17099</v>
      </c>
      <c r="R1657" s="17">
        <v>40</v>
      </c>
      <c r="S1657" s="18">
        <v>11798.31</v>
      </c>
      <c r="T1657" s="19" t="s">
        <v>36</v>
      </c>
      <c r="U1657" s="20" t="s">
        <v>1966</v>
      </c>
      <c r="V1657" s="22">
        <v>37</v>
      </c>
      <c r="W1657" s="22">
        <v>3</v>
      </c>
      <c r="X1657" s="23"/>
    </row>
    <row r="1658" spans="1:24" s="1" customFormat="1" ht="11.1" customHeight="1" x14ac:dyDescent="0.3">
      <c r="A1658" s="24" t="s">
        <v>23</v>
      </c>
      <c r="B1658" s="24" t="s">
        <v>1960</v>
      </c>
      <c r="C1658" s="12" t="s">
        <v>1964</v>
      </c>
      <c r="D1658" s="54"/>
      <c r="E1658" s="39" t="str">
        <f t="shared" si="45"/>
        <v>Еще фото</v>
      </c>
      <c r="F1658" s="13" t="s">
        <v>98</v>
      </c>
      <c r="G1658" s="24" t="s">
        <v>808</v>
      </c>
      <c r="H1658" s="24" t="s">
        <v>593</v>
      </c>
      <c r="I1658" s="24" t="s">
        <v>1833</v>
      </c>
      <c r="J1658" s="14" t="s">
        <v>47</v>
      </c>
      <c r="K1658" s="15" t="s">
        <v>578</v>
      </c>
      <c r="L1658" s="57"/>
      <c r="M1658" s="14"/>
      <c r="N1658" s="14" t="s">
        <v>1965</v>
      </c>
      <c r="O1658" s="14"/>
      <c r="P1658" s="15" t="s">
        <v>1314</v>
      </c>
      <c r="Q1658" s="16">
        <v>17099</v>
      </c>
      <c r="R1658" s="17">
        <v>40</v>
      </c>
      <c r="S1658" s="18">
        <v>11798.31</v>
      </c>
      <c r="T1658" s="19" t="s">
        <v>36</v>
      </c>
      <c r="U1658" s="20" t="s">
        <v>1912</v>
      </c>
      <c r="V1658" s="28">
        <v>37.5</v>
      </c>
      <c r="W1658" s="22">
        <v>2</v>
      </c>
      <c r="X1658" s="23"/>
    </row>
    <row r="1659" spans="1:24" s="1" customFormat="1" ht="11.1" customHeight="1" x14ac:dyDescent="0.3">
      <c r="A1659" s="24" t="s">
        <v>23</v>
      </c>
      <c r="B1659" s="24" t="s">
        <v>1960</v>
      </c>
      <c r="C1659" s="12" t="s">
        <v>1964</v>
      </c>
      <c r="D1659" s="54"/>
      <c r="E1659" s="39" t="str">
        <f t="shared" si="45"/>
        <v>Еще фото</v>
      </c>
      <c r="F1659" s="13" t="s">
        <v>98</v>
      </c>
      <c r="G1659" s="24" t="s">
        <v>808</v>
      </c>
      <c r="H1659" s="24" t="s">
        <v>593</v>
      </c>
      <c r="I1659" s="24" t="s">
        <v>1833</v>
      </c>
      <c r="J1659" s="14" t="s">
        <v>47</v>
      </c>
      <c r="K1659" s="15" t="s">
        <v>578</v>
      </c>
      <c r="L1659" s="57"/>
      <c r="M1659" s="14"/>
      <c r="N1659" s="14" t="s">
        <v>1965</v>
      </c>
      <c r="O1659" s="14"/>
      <c r="P1659" s="15" t="s">
        <v>1314</v>
      </c>
      <c r="Q1659" s="16">
        <v>17099</v>
      </c>
      <c r="R1659" s="17">
        <v>40</v>
      </c>
      <c r="S1659" s="18">
        <v>11798.31</v>
      </c>
      <c r="T1659" s="19" t="s">
        <v>36</v>
      </c>
      <c r="U1659" s="20" t="s">
        <v>955</v>
      </c>
      <c r="V1659" s="22">
        <v>39</v>
      </c>
      <c r="W1659" s="22">
        <v>3</v>
      </c>
      <c r="X1659" s="23"/>
    </row>
    <row r="1660" spans="1:24" s="1" customFormat="1" ht="11.1" customHeight="1" x14ac:dyDescent="0.3">
      <c r="A1660" s="24" t="s">
        <v>23</v>
      </c>
      <c r="B1660" s="24" t="s">
        <v>1960</v>
      </c>
      <c r="C1660" s="12" t="s">
        <v>1964</v>
      </c>
      <c r="D1660" s="54"/>
      <c r="E1660" s="39" t="str">
        <f t="shared" si="45"/>
        <v>Еще фото</v>
      </c>
      <c r="F1660" s="13" t="s">
        <v>98</v>
      </c>
      <c r="G1660" s="24" t="s">
        <v>808</v>
      </c>
      <c r="H1660" s="24" t="s">
        <v>593</v>
      </c>
      <c r="I1660" s="24" t="s">
        <v>1833</v>
      </c>
      <c r="J1660" s="14" t="s">
        <v>47</v>
      </c>
      <c r="K1660" s="15" t="s">
        <v>578</v>
      </c>
      <c r="L1660" s="57"/>
      <c r="M1660" s="14"/>
      <c r="N1660" s="14" t="s">
        <v>1965</v>
      </c>
      <c r="O1660" s="14"/>
      <c r="P1660" s="15" t="s">
        <v>1314</v>
      </c>
      <c r="Q1660" s="16">
        <v>17099</v>
      </c>
      <c r="R1660" s="17">
        <v>40</v>
      </c>
      <c r="S1660" s="18">
        <v>11798.31</v>
      </c>
      <c r="T1660" s="19" t="s">
        <v>36</v>
      </c>
      <c r="U1660" s="20" t="s">
        <v>943</v>
      </c>
      <c r="V1660" s="28">
        <v>39.5</v>
      </c>
      <c r="W1660" s="22">
        <v>1</v>
      </c>
      <c r="X1660" s="23"/>
    </row>
    <row r="1661" spans="1:24" s="1" customFormat="1" ht="11.1" customHeight="1" x14ac:dyDescent="0.3">
      <c r="A1661" s="24" t="s">
        <v>23</v>
      </c>
      <c r="B1661" s="24" t="s">
        <v>1960</v>
      </c>
      <c r="C1661" s="12" t="s">
        <v>1964</v>
      </c>
      <c r="D1661" s="54"/>
      <c r="E1661" s="39" t="str">
        <f t="shared" si="45"/>
        <v>Еще фото</v>
      </c>
      <c r="F1661" s="13" t="s">
        <v>98</v>
      </c>
      <c r="G1661" s="24" t="s">
        <v>808</v>
      </c>
      <c r="H1661" s="24" t="s">
        <v>593</v>
      </c>
      <c r="I1661" s="24" t="s">
        <v>1833</v>
      </c>
      <c r="J1661" s="14" t="s">
        <v>47</v>
      </c>
      <c r="K1661" s="15" t="s">
        <v>578</v>
      </c>
      <c r="L1661" s="57"/>
      <c r="M1661" s="14"/>
      <c r="N1661" s="14" t="s">
        <v>1965</v>
      </c>
      <c r="O1661" s="14"/>
      <c r="P1661" s="15" t="s">
        <v>1314</v>
      </c>
      <c r="Q1661" s="16">
        <v>17099</v>
      </c>
      <c r="R1661" s="17">
        <v>40</v>
      </c>
      <c r="S1661" s="18">
        <v>11798.31</v>
      </c>
      <c r="T1661" s="19" t="s">
        <v>36</v>
      </c>
      <c r="U1661" s="20" t="s">
        <v>945</v>
      </c>
      <c r="V1661" s="22">
        <v>41</v>
      </c>
      <c r="W1661" s="22">
        <v>5</v>
      </c>
      <c r="X1661" s="23"/>
    </row>
    <row r="1662" spans="1:24" s="1" customFormat="1" ht="11.1" customHeight="1" x14ac:dyDescent="0.3">
      <c r="A1662" s="24" t="s">
        <v>23</v>
      </c>
      <c r="B1662" s="24" t="s">
        <v>1960</v>
      </c>
      <c r="C1662" s="12" t="s">
        <v>1964</v>
      </c>
      <c r="D1662" s="54"/>
      <c r="E1662" s="39" t="str">
        <f t="shared" si="45"/>
        <v>Еще фото</v>
      </c>
      <c r="F1662" s="13" t="s">
        <v>98</v>
      </c>
      <c r="G1662" s="24" t="s">
        <v>808</v>
      </c>
      <c r="H1662" s="24" t="s">
        <v>593</v>
      </c>
      <c r="I1662" s="24" t="s">
        <v>1833</v>
      </c>
      <c r="J1662" s="14" t="s">
        <v>47</v>
      </c>
      <c r="K1662" s="15" t="s">
        <v>578</v>
      </c>
      <c r="L1662" s="57"/>
      <c r="M1662" s="14"/>
      <c r="N1662" s="14" t="s">
        <v>1965</v>
      </c>
      <c r="O1662" s="14"/>
      <c r="P1662" s="15" t="s">
        <v>1314</v>
      </c>
      <c r="Q1662" s="16">
        <v>17099</v>
      </c>
      <c r="R1662" s="17">
        <v>40</v>
      </c>
      <c r="S1662" s="18">
        <v>11798.31</v>
      </c>
      <c r="T1662" s="19" t="s">
        <v>36</v>
      </c>
      <c r="U1662" s="20" t="s">
        <v>875</v>
      </c>
      <c r="V1662" s="28">
        <v>41.5</v>
      </c>
      <c r="W1662" s="22">
        <v>4</v>
      </c>
      <c r="X1662" s="23"/>
    </row>
    <row r="1663" spans="1:24" s="1" customFormat="1" ht="11.1" customHeight="1" x14ac:dyDescent="0.3">
      <c r="A1663" s="24" t="s">
        <v>23</v>
      </c>
      <c r="B1663" s="24" t="s">
        <v>1960</v>
      </c>
      <c r="C1663" s="12" t="s">
        <v>1964</v>
      </c>
      <c r="D1663" s="54"/>
      <c r="E1663" s="39" t="str">
        <f t="shared" si="45"/>
        <v>Еще фото</v>
      </c>
      <c r="F1663" s="13" t="s">
        <v>98</v>
      </c>
      <c r="G1663" s="24" t="s">
        <v>808</v>
      </c>
      <c r="H1663" s="24" t="s">
        <v>593</v>
      </c>
      <c r="I1663" s="24" t="s">
        <v>1833</v>
      </c>
      <c r="J1663" s="14" t="s">
        <v>47</v>
      </c>
      <c r="K1663" s="15" t="s">
        <v>578</v>
      </c>
      <c r="L1663" s="57"/>
      <c r="M1663" s="14"/>
      <c r="N1663" s="14" t="s">
        <v>1965</v>
      </c>
      <c r="O1663" s="14"/>
      <c r="P1663" s="15" t="s">
        <v>1314</v>
      </c>
      <c r="Q1663" s="16">
        <v>17099</v>
      </c>
      <c r="R1663" s="17">
        <v>40</v>
      </c>
      <c r="S1663" s="18">
        <v>11798.31</v>
      </c>
      <c r="T1663" s="19" t="s">
        <v>36</v>
      </c>
      <c r="U1663" s="20" t="s">
        <v>876</v>
      </c>
      <c r="V1663" s="22">
        <v>42</v>
      </c>
      <c r="W1663" s="22">
        <v>1</v>
      </c>
      <c r="X1663" s="23"/>
    </row>
    <row r="1664" spans="1:24" s="1" customFormat="1" ht="11.1" customHeight="1" x14ac:dyDescent="0.3">
      <c r="A1664" s="24" t="s">
        <v>23</v>
      </c>
      <c r="B1664" s="24" t="s">
        <v>1960</v>
      </c>
      <c r="C1664" s="12" t="s">
        <v>1964</v>
      </c>
      <c r="D1664" s="54"/>
      <c r="E1664" s="39" t="str">
        <f t="shared" si="45"/>
        <v>Еще фото</v>
      </c>
      <c r="F1664" s="13" t="s">
        <v>98</v>
      </c>
      <c r="G1664" s="24" t="s">
        <v>808</v>
      </c>
      <c r="H1664" s="24" t="s">
        <v>593</v>
      </c>
      <c r="I1664" s="24" t="s">
        <v>1833</v>
      </c>
      <c r="J1664" s="14" t="s">
        <v>47</v>
      </c>
      <c r="K1664" s="15" t="s">
        <v>578</v>
      </c>
      <c r="L1664" s="57"/>
      <c r="M1664" s="14"/>
      <c r="N1664" s="14" t="s">
        <v>1965</v>
      </c>
      <c r="O1664" s="14"/>
      <c r="P1664" s="15" t="s">
        <v>1314</v>
      </c>
      <c r="Q1664" s="16">
        <v>17099</v>
      </c>
      <c r="R1664" s="17">
        <v>40</v>
      </c>
      <c r="S1664" s="18">
        <v>11798.31</v>
      </c>
      <c r="T1664" s="19" t="s">
        <v>36</v>
      </c>
      <c r="U1664" s="20" t="s">
        <v>877</v>
      </c>
      <c r="V1664" s="22">
        <v>43</v>
      </c>
      <c r="W1664" s="22">
        <v>9</v>
      </c>
      <c r="X1664" s="23"/>
    </row>
    <row r="1665" spans="1:24" s="1" customFormat="1" ht="11.1" customHeight="1" x14ac:dyDescent="0.3">
      <c r="A1665" s="24" t="s">
        <v>23</v>
      </c>
      <c r="B1665" s="24" t="s">
        <v>1960</v>
      </c>
      <c r="C1665" s="12" t="s">
        <v>1964</v>
      </c>
      <c r="D1665" s="54"/>
      <c r="E1665" s="39" t="str">
        <f t="shared" si="45"/>
        <v>Еще фото</v>
      </c>
      <c r="F1665" s="13" t="s">
        <v>98</v>
      </c>
      <c r="G1665" s="24" t="s">
        <v>808</v>
      </c>
      <c r="H1665" s="24" t="s">
        <v>593</v>
      </c>
      <c r="I1665" s="24" t="s">
        <v>1833</v>
      </c>
      <c r="J1665" s="14" t="s">
        <v>47</v>
      </c>
      <c r="K1665" s="15" t="s">
        <v>578</v>
      </c>
      <c r="L1665" s="57"/>
      <c r="M1665" s="14"/>
      <c r="N1665" s="14" t="s">
        <v>1965</v>
      </c>
      <c r="O1665" s="14"/>
      <c r="P1665" s="15" t="s">
        <v>1314</v>
      </c>
      <c r="Q1665" s="16">
        <v>17099</v>
      </c>
      <c r="R1665" s="17">
        <v>40</v>
      </c>
      <c r="S1665" s="18">
        <v>11798.31</v>
      </c>
      <c r="T1665" s="19" t="s">
        <v>36</v>
      </c>
      <c r="U1665" s="20" t="s">
        <v>878</v>
      </c>
      <c r="V1665" s="28">
        <v>43.5</v>
      </c>
      <c r="W1665" s="22">
        <v>6</v>
      </c>
      <c r="X1665" s="23"/>
    </row>
    <row r="1666" spans="1:24" s="1" customFormat="1" ht="11.1" customHeight="1" x14ac:dyDescent="0.3">
      <c r="A1666" s="14" t="s">
        <v>23</v>
      </c>
      <c r="B1666" s="14" t="s">
        <v>1960</v>
      </c>
      <c r="C1666" s="12" t="s">
        <v>1964</v>
      </c>
      <c r="D1666" s="54"/>
      <c r="E1666" s="39" t="str">
        <f t="shared" si="45"/>
        <v>Еще фото</v>
      </c>
      <c r="F1666" s="29" t="s">
        <v>98</v>
      </c>
      <c r="G1666" s="14" t="s">
        <v>808</v>
      </c>
      <c r="H1666" s="14" t="s">
        <v>593</v>
      </c>
      <c r="I1666" s="14" t="s">
        <v>1833</v>
      </c>
      <c r="J1666" s="14" t="s">
        <v>47</v>
      </c>
      <c r="K1666" s="14" t="s">
        <v>578</v>
      </c>
      <c r="L1666" s="57"/>
      <c r="M1666" s="14"/>
      <c r="N1666" s="14" t="s">
        <v>1965</v>
      </c>
      <c r="O1666" s="14"/>
      <c r="P1666" s="14" t="s">
        <v>1314</v>
      </c>
      <c r="Q1666" s="30">
        <v>17099</v>
      </c>
      <c r="R1666" s="31">
        <v>40</v>
      </c>
      <c r="S1666" s="32">
        <v>11798.31</v>
      </c>
      <c r="T1666" s="19" t="s">
        <v>36</v>
      </c>
      <c r="U1666" s="20" t="s">
        <v>879</v>
      </c>
      <c r="V1666" s="22">
        <v>44</v>
      </c>
      <c r="W1666" s="22">
        <v>2</v>
      </c>
      <c r="X1666" s="23"/>
    </row>
    <row r="1667" spans="1:24" s="1" customFormat="1" ht="11.1" customHeight="1" x14ac:dyDescent="0.3">
      <c r="A1667" s="14" t="s">
        <v>23</v>
      </c>
      <c r="B1667" s="14" t="s">
        <v>1960</v>
      </c>
      <c r="C1667" s="12" t="s">
        <v>1964</v>
      </c>
      <c r="D1667" s="54"/>
      <c r="E1667" s="39" t="str">
        <f t="shared" si="45"/>
        <v>Еще фото</v>
      </c>
      <c r="F1667" s="29" t="s">
        <v>98</v>
      </c>
      <c r="G1667" s="14" t="s">
        <v>808</v>
      </c>
      <c r="H1667" s="14" t="s">
        <v>593</v>
      </c>
      <c r="I1667" s="14" t="s">
        <v>1833</v>
      </c>
      <c r="J1667" s="14" t="s">
        <v>47</v>
      </c>
      <c r="K1667" s="14" t="s">
        <v>578</v>
      </c>
      <c r="L1667" s="57"/>
      <c r="M1667" s="14"/>
      <c r="N1667" s="14" t="s">
        <v>1965</v>
      </c>
      <c r="O1667" s="14"/>
      <c r="P1667" s="14" t="s">
        <v>1314</v>
      </c>
      <c r="Q1667" s="30">
        <v>17099</v>
      </c>
      <c r="R1667" s="31">
        <v>40</v>
      </c>
      <c r="S1667" s="32">
        <v>11798.31</v>
      </c>
      <c r="T1667" s="19" t="s">
        <v>36</v>
      </c>
      <c r="U1667" s="20" t="s">
        <v>880</v>
      </c>
      <c r="V1667" s="28">
        <v>44.5</v>
      </c>
      <c r="W1667" s="22">
        <v>1</v>
      </c>
      <c r="X1667" s="23"/>
    </row>
    <row r="1668" spans="1:24" s="1" customFormat="1" ht="11.1" customHeight="1" x14ac:dyDescent="0.3">
      <c r="A1668" s="14" t="s">
        <v>23</v>
      </c>
      <c r="B1668" s="14" t="s">
        <v>1960</v>
      </c>
      <c r="C1668" s="12" t="s">
        <v>1964</v>
      </c>
      <c r="D1668" s="55"/>
      <c r="E1668" s="39" t="str">
        <f t="shared" si="45"/>
        <v>Еще фото</v>
      </c>
      <c r="F1668" s="29" t="s">
        <v>98</v>
      </c>
      <c r="G1668" s="14" t="s">
        <v>808</v>
      </c>
      <c r="H1668" s="14" t="s">
        <v>593</v>
      </c>
      <c r="I1668" s="14" t="s">
        <v>1833</v>
      </c>
      <c r="J1668" s="14" t="s">
        <v>47</v>
      </c>
      <c r="K1668" s="14" t="s">
        <v>578</v>
      </c>
      <c r="L1668" s="58"/>
      <c r="M1668" s="14"/>
      <c r="N1668" s="14" t="s">
        <v>1965</v>
      </c>
      <c r="O1668" s="14"/>
      <c r="P1668" s="14" t="s">
        <v>1314</v>
      </c>
      <c r="Q1668" s="30">
        <v>17099</v>
      </c>
      <c r="R1668" s="31">
        <v>40</v>
      </c>
      <c r="S1668" s="32">
        <v>11798.31</v>
      </c>
      <c r="T1668" s="19" t="s">
        <v>36</v>
      </c>
      <c r="U1668" s="20" t="s">
        <v>1848</v>
      </c>
      <c r="V1668" s="22">
        <v>45</v>
      </c>
      <c r="W1668" s="22">
        <v>1</v>
      </c>
      <c r="X1668" s="23"/>
    </row>
    <row r="1669" spans="1:24" s="1" customFormat="1" ht="108" customHeight="1" x14ac:dyDescent="0.3">
      <c r="A1669" s="11" t="s">
        <v>23</v>
      </c>
      <c r="B1669" s="11" t="s">
        <v>1967</v>
      </c>
      <c r="C1669" s="12" t="s">
        <v>1968</v>
      </c>
      <c r="D1669" s="25"/>
      <c r="E1669" s="39" t="str">
        <f>HYPERLINK("https://www.google.ru/search?q=6005795-001&amp;newwindow=1&amp;tbm=isch","Еще фото")</f>
        <v>Еще фото</v>
      </c>
      <c r="F1669" s="13"/>
      <c r="G1669" s="11" t="s">
        <v>1954</v>
      </c>
      <c r="H1669" s="11" t="s">
        <v>593</v>
      </c>
      <c r="I1669" s="14" t="s">
        <v>1833</v>
      </c>
      <c r="J1669" s="14" t="s">
        <v>47</v>
      </c>
      <c r="K1669" s="15" t="s">
        <v>30</v>
      </c>
      <c r="L1669" s="14" t="s">
        <v>1969</v>
      </c>
      <c r="M1669" s="14"/>
      <c r="N1669" s="14" t="s">
        <v>33</v>
      </c>
      <c r="O1669" s="14"/>
      <c r="P1669" s="15" t="s">
        <v>1064</v>
      </c>
      <c r="Q1669" s="16">
        <v>9099</v>
      </c>
      <c r="R1669" s="17">
        <v>40</v>
      </c>
      <c r="S1669" s="18">
        <v>6278.3099999999995</v>
      </c>
      <c r="T1669" s="19" t="s">
        <v>36</v>
      </c>
      <c r="U1669" s="20" t="s">
        <v>600</v>
      </c>
      <c r="V1669" s="22">
        <v>40</v>
      </c>
      <c r="W1669" s="22">
        <v>2</v>
      </c>
      <c r="X1669" s="23"/>
    </row>
    <row r="1670" spans="1:24" s="1" customFormat="1" ht="108" customHeight="1" x14ac:dyDescent="0.3">
      <c r="A1670" s="11" t="s">
        <v>23</v>
      </c>
      <c r="B1670" s="11" t="s">
        <v>1967</v>
      </c>
      <c r="C1670" s="12" t="s">
        <v>1970</v>
      </c>
      <c r="D1670" s="25"/>
      <c r="E1670" s="39" t="str">
        <f>HYPERLINK("https://www.google.ru/search?q=6005795-100&amp;newwindow=1&amp;tbm=isch","Еще фото")</f>
        <v>Еще фото</v>
      </c>
      <c r="F1670" s="13"/>
      <c r="G1670" s="11" t="s">
        <v>1954</v>
      </c>
      <c r="H1670" s="11" t="s">
        <v>593</v>
      </c>
      <c r="I1670" s="14" t="s">
        <v>1833</v>
      </c>
      <c r="J1670" s="14" t="s">
        <v>47</v>
      </c>
      <c r="K1670" s="15" t="s">
        <v>30</v>
      </c>
      <c r="L1670" s="14" t="s">
        <v>1969</v>
      </c>
      <c r="M1670" s="14"/>
      <c r="N1670" s="14" t="s">
        <v>74</v>
      </c>
      <c r="O1670" s="14"/>
      <c r="P1670" s="15" t="s">
        <v>1121</v>
      </c>
      <c r="Q1670" s="16">
        <v>9099</v>
      </c>
      <c r="R1670" s="17">
        <v>40</v>
      </c>
      <c r="S1670" s="18">
        <v>6278.3099999999995</v>
      </c>
      <c r="T1670" s="19" t="s">
        <v>36</v>
      </c>
      <c r="U1670" s="20" t="s">
        <v>602</v>
      </c>
      <c r="V1670" s="28">
        <v>41.5</v>
      </c>
      <c r="W1670" s="22">
        <v>1</v>
      </c>
      <c r="X1670" s="23"/>
    </row>
    <row r="1671" spans="1:24" s="1" customFormat="1" ht="21" customHeight="1" x14ac:dyDescent="0.3">
      <c r="A1671" s="11" t="s">
        <v>23</v>
      </c>
      <c r="B1671" s="11" t="s">
        <v>1967</v>
      </c>
      <c r="C1671" s="26" t="s">
        <v>1971</v>
      </c>
      <c r="D1671" s="53"/>
      <c r="E1671" s="39" t="str">
        <f>HYPERLINK("https://www.google.ru/search?q=6005795-102&amp;newwindow=1&amp;tbm=isch","Еще фото")</f>
        <v>Еще фото</v>
      </c>
      <c r="F1671" s="13"/>
      <c r="G1671" s="11" t="s">
        <v>1954</v>
      </c>
      <c r="H1671" s="11" t="s">
        <v>593</v>
      </c>
      <c r="I1671" s="14" t="s">
        <v>1833</v>
      </c>
      <c r="J1671" s="14" t="s">
        <v>47</v>
      </c>
      <c r="K1671" s="15" t="s">
        <v>30</v>
      </c>
      <c r="L1671" s="56"/>
      <c r="M1671" s="14"/>
      <c r="N1671" s="14" t="s">
        <v>74</v>
      </c>
      <c r="O1671" s="14"/>
      <c r="P1671" s="15" t="s">
        <v>1972</v>
      </c>
      <c r="Q1671" s="16">
        <v>9099</v>
      </c>
      <c r="R1671" s="17">
        <v>40</v>
      </c>
      <c r="S1671" s="18">
        <v>6278.3099999999995</v>
      </c>
      <c r="T1671" s="19" t="s">
        <v>36</v>
      </c>
      <c r="U1671" s="20" t="s">
        <v>598</v>
      </c>
      <c r="V1671" s="22">
        <v>39</v>
      </c>
      <c r="W1671" s="22">
        <v>1</v>
      </c>
      <c r="X1671" s="23"/>
    </row>
    <row r="1672" spans="1:24" s="1" customFormat="1" ht="21" customHeight="1" x14ac:dyDescent="0.3">
      <c r="A1672" s="24" t="s">
        <v>23</v>
      </c>
      <c r="B1672" s="24" t="s">
        <v>1967</v>
      </c>
      <c r="C1672" s="27" t="s">
        <v>1971</v>
      </c>
      <c r="D1672" s="54"/>
      <c r="E1672" s="39" t="str">
        <f>HYPERLINK("https://www.google.ru/search?q=6005795-102&amp;newwindow=1&amp;tbm=isch","Еще фото")</f>
        <v>Еще фото</v>
      </c>
      <c r="F1672" s="13"/>
      <c r="G1672" s="24" t="s">
        <v>1954</v>
      </c>
      <c r="H1672" s="24" t="s">
        <v>593</v>
      </c>
      <c r="I1672" s="24" t="s">
        <v>1833</v>
      </c>
      <c r="J1672" s="14" t="s">
        <v>47</v>
      </c>
      <c r="K1672" s="15" t="s">
        <v>30</v>
      </c>
      <c r="L1672" s="57"/>
      <c r="M1672" s="14"/>
      <c r="N1672" s="14" t="s">
        <v>74</v>
      </c>
      <c r="O1672" s="14"/>
      <c r="P1672" s="15" t="s">
        <v>1972</v>
      </c>
      <c r="Q1672" s="16">
        <v>9099</v>
      </c>
      <c r="R1672" s="17">
        <v>40</v>
      </c>
      <c r="S1672" s="18">
        <v>6278.3099999999995</v>
      </c>
      <c r="T1672" s="19" t="s">
        <v>36</v>
      </c>
      <c r="U1672" s="20" t="s">
        <v>600</v>
      </c>
      <c r="V1672" s="22">
        <v>40</v>
      </c>
      <c r="W1672" s="22">
        <v>1</v>
      </c>
      <c r="X1672" s="23"/>
    </row>
    <row r="1673" spans="1:24" s="1" customFormat="1" ht="21" customHeight="1" x14ac:dyDescent="0.3">
      <c r="A1673" s="24" t="s">
        <v>23</v>
      </c>
      <c r="B1673" s="24" t="s">
        <v>1967</v>
      </c>
      <c r="C1673" s="27" t="s">
        <v>1971</v>
      </c>
      <c r="D1673" s="54"/>
      <c r="E1673" s="39" t="str">
        <f>HYPERLINK("https://www.google.ru/search?q=6005795-102&amp;newwindow=1&amp;tbm=isch","Еще фото")</f>
        <v>Еще фото</v>
      </c>
      <c r="F1673" s="13"/>
      <c r="G1673" s="24" t="s">
        <v>1954</v>
      </c>
      <c r="H1673" s="24" t="s">
        <v>593</v>
      </c>
      <c r="I1673" s="24" t="s">
        <v>1833</v>
      </c>
      <c r="J1673" s="14" t="s">
        <v>47</v>
      </c>
      <c r="K1673" s="15" t="s">
        <v>30</v>
      </c>
      <c r="L1673" s="57"/>
      <c r="M1673" s="14"/>
      <c r="N1673" s="14" t="s">
        <v>74</v>
      </c>
      <c r="O1673" s="14"/>
      <c r="P1673" s="15" t="s">
        <v>1972</v>
      </c>
      <c r="Q1673" s="16">
        <v>9099</v>
      </c>
      <c r="R1673" s="17">
        <v>40</v>
      </c>
      <c r="S1673" s="18">
        <v>6278.3099999999995</v>
      </c>
      <c r="T1673" s="19" t="s">
        <v>36</v>
      </c>
      <c r="U1673" s="20" t="s">
        <v>601</v>
      </c>
      <c r="V1673" s="22">
        <v>41</v>
      </c>
      <c r="W1673" s="22">
        <v>1</v>
      </c>
      <c r="X1673" s="23"/>
    </row>
    <row r="1674" spans="1:24" s="1" customFormat="1" ht="21" customHeight="1" x14ac:dyDescent="0.3">
      <c r="A1674" s="24" t="s">
        <v>23</v>
      </c>
      <c r="B1674" s="24" t="s">
        <v>1967</v>
      </c>
      <c r="C1674" s="27" t="s">
        <v>1971</v>
      </c>
      <c r="D1674" s="54"/>
      <c r="E1674" s="39" t="str">
        <f>HYPERLINK("https://www.google.ru/search?q=6005795-102&amp;newwindow=1&amp;tbm=isch","Еще фото")</f>
        <v>Еще фото</v>
      </c>
      <c r="F1674" s="13"/>
      <c r="G1674" s="24" t="s">
        <v>1954</v>
      </c>
      <c r="H1674" s="24" t="s">
        <v>593</v>
      </c>
      <c r="I1674" s="24" t="s">
        <v>1833</v>
      </c>
      <c r="J1674" s="14" t="s">
        <v>47</v>
      </c>
      <c r="K1674" s="15" t="s">
        <v>30</v>
      </c>
      <c r="L1674" s="57"/>
      <c r="M1674" s="14"/>
      <c r="N1674" s="14" t="s">
        <v>74</v>
      </c>
      <c r="O1674" s="14"/>
      <c r="P1674" s="15" t="s">
        <v>1972</v>
      </c>
      <c r="Q1674" s="16">
        <v>9099</v>
      </c>
      <c r="R1674" s="17">
        <v>40</v>
      </c>
      <c r="S1674" s="18">
        <v>6278.3099999999995</v>
      </c>
      <c r="T1674" s="19" t="s">
        <v>36</v>
      </c>
      <c r="U1674" s="20" t="s">
        <v>602</v>
      </c>
      <c r="V1674" s="28">
        <v>41.5</v>
      </c>
      <c r="W1674" s="22">
        <v>3</v>
      </c>
      <c r="X1674" s="23"/>
    </row>
    <row r="1675" spans="1:24" s="1" customFormat="1" ht="32.1" customHeight="1" x14ac:dyDescent="0.3">
      <c r="A1675" s="24" t="s">
        <v>23</v>
      </c>
      <c r="B1675" s="24" t="s">
        <v>1967</v>
      </c>
      <c r="C1675" s="27" t="s">
        <v>1971</v>
      </c>
      <c r="D1675" s="55"/>
      <c r="E1675" s="39" t="str">
        <f>HYPERLINK("https://www.google.ru/search?q=6005795-102&amp;newwindow=1&amp;tbm=isch","Еще фото")</f>
        <v>Еще фото</v>
      </c>
      <c r="F1675" s="13"/>
      <c r="G1675" s="24" t="s">
        <v>1954</v>
      </c>
      <c r="H1675" s="24" t="s">
        <v>593</v>
      </c>
      <c r="I1675" s="24" t="s">
        <v>1833</v>
      </c>
      <c r="J1675" s="14" t="s">
        <v>47</v>
      </c>
      <c r="K1675" s="15" t="s">
        <v>30</v>
      </c>
      <c r="L1675" s="58"/>
      <c r="M1675" s="14"/>
      <c r="N1675" s="14" t="s">
        <v>74</v>
      </c>
      <c r="O1675" s="14"/>
      <c r="P1675" s="15" t="s">
        <v>1972</v>
      </c>
      <c r="Q1675" s="16">
        <v>9099</v>
      </c>
      <c r="R1675" s="17">
        <v>40</v>
      </c>
      <c r="S1675" s="18">
        <v>6278.3099999999995</v>
      </c>
      <c r="T1675" s="19" t="s">
        <v>36</v>
      </c>
      <c r="U1675" s="20" t="s">
        <v>603</v>
      </c>
      <c r="V1675" s="22">
        <v>42</v>
      </c>
      <c r="W1675" s="22">
        <v>2</v>
      </c>
      <c r="X1675" s="23"/>
    </row>
    <row r="1676" spans="1:24" s="1" customFormat="1" ht="108" customHeight="1" x14ac:dyDescent="0.3">
      <c r="A1676" s="11" t="s">
        <v>23</v>
      </c>
      <c r="B1676" s="11" t="s">
        <v>1973</v>
      </c>
      <c r="C1676" s="12" t="s">
        <v>1974</v>
      </c>
      <c r="D1676" s="25"/>
      <c r="E1676" s="39" t="str">
        <f>HYPERLINK("https://www.google.ru/search?q=6005797-498&amp;newwindow=1&amp;tbm=isch","Еще фото")</f>
        <v>Еще фото</v>
      </c>
      <c r="F1676" s="13" t="s">
        <v>98</v>
      </c>
      <c r="G1676" s="11" t="s">
        <v>808</v>
      </c>
      <c r="H1676" s="11" t="s">
        <v>593</v>
      </c>
      <c r="I1676" s="14" t="s">
        <v>1833</v>
      </c>
      <c r="J1676" s="14" t="s">
        <v>47</v>
      </c>
      <c r="K1676" s="15" t="s">
        <v>30</v>
      </c>
      <c r="L1676" s="14" t="s">
        <v>1975</v>
      </c>
      <c r="M1676" s="14"/>
      <c r="N1676" s="14" t="s">
        <v>91</v>
      </c>
      <c r="O1676" s="14"/>
      <c r="P1676" s="15" t="s">
        <v>1601</v>
      </c>
      <c r="Q1676" s="16">
        <v>9899</v>
      </c>
      <c r="R1676" s="17">
        <v>40</v>
      </c>
      <c r="S1676" s="18">
        <v>6830.3099999999995</v>
      </c>
      <c r="T1676" s="19" t="s">
        <v>36</v>
      </c>
      <c r="U1676" s="20" t="s">
        <v>600</v>
      </c>
      <c r="V1676" s="22">
        <v>40</v>
      </c>
      <c r="W1676" s="22">
        <v>1</v>
      </c>
      <c r="X1676" s="23"/>
    </row>
    <row r="1677" spans="1:24" s="1" customFormat="1" ht="11.1" customHeight="1" x14ac:dyDescent="0.3">
      <c r="A1677" s="11" t="s">
        <v>23</v>
      </c>
      <c r="B1677" s="11" t="s">
        <v>1976</v>
      </c>
      <c r="C1677" s="12" t="s">
        <v>1977</v>
      </c>
      <c r="D1677" s="53"/>
      <c r="E1677" s="39" t="str">
        <f t="shared" ref="E1677:E1689" si="46">HYPERLINK("https://www.google.ru/search?q=6005922-108&amp;newwindow=1&amp;tbm=isch","Еще фото")</f>
        <v>Еще фото</v>
      </c>
      <c r="F1677" s="13"/>
      <c r="G1677" s="11" t="s">
        <v>808</v>
      </c>
      <c r="H1677" s="11" t="s">
        <v>593</v>
      </c>
      <c r="I1677" s="14" t="s">
        <v>1833</v>
      </c>
      <c r="J1677" s="14" t="s">
        <v>47</v>
      </c>
      <c r="K1677" s="15" t="s">
        <v>578</v>
      </c>
      <c r="L1677" s="56" t="s">
        <v>1978</v>
      </c>
      <c r="M1677" s="14"/>
      <c r="N1677" s="14" t="s">
        <v>1070</v>
      </c>
      <c r="O1677" s="14"/>
      <c r="P1677" s="15" t="s">
        <v>1979</v>
      </c>
      <c r="Q1677" s="16">
        <v>17899</v>
      </c>
      <c r="R1677" s="17">
        <v>40</v>
      </c>
      <c r="S1677" s="18">
        <v>12350.31</v>
      </c>
      <c r="T1677" s="19" t="s">
        <v>36</v>
      </c>
      <c r="U1677" s="20" t="s">
        <v>1912</v>
      </c>
      <c r="V1677" s="28">
        <v>37.5</v>
      </c>
      <c r="W1677" s="22">
        <v>3</v>
      </c>
      <c r="X1677" s="23"/>
    </row>
    <row r="1678" spans="1:24" s="1" customFormat="1" ht="11.1" customHeight="1" x14ac:dyDescent="0.3">
      <c r="A1678" s="24" t="s">
        <v>23</v>
      </c>
      <c r="B1678" s="24" t="s">
        <v>1976</v>
      </c>
      <c r="C1678" s="12" t="s">
        <v>1977</v>
      </c>
      <c r="D1678" s="54"/>
      <c r="E1678" s="39" t="str">
        <f t="shared" si="46"/>
        <v>Еще фото</v>
      </c>
      <c r="F1678" s="13"/>
      <c r="G1678" s="24" t="s">
        <v>808</v>
      </c>
      <c r="H1678" s="24" t="s">
        <v>593</v>
      </c>
      <c r="I1678" s="24" t="s">
        <v>1833</v>
      </c>
      <c r="J1678" s="14" t="s">
        <v>47</v>
      </c>
      <c r="K1678" s="15" t="s">
        <v>578</v>
      </c>
      <c r="L1678" s="57"/>
      <c r="M1678" s="14"/>
      <c r="N1678" s="14" t="s">
        <v>1070</v>
      </c>
      <c r="O1678" s="14"/>
      <c r="P1678" s="15" t="s">
        <v>1979</v>
      </c>
      <c r="Q1678" s="16">
        <v>17899</v>
      </c>
      <c r="R1678" s="17">
        <v>40</v>
      </c>
      <c r="S1678" s="18">
        <v>12350.31</v>
      </c>
      <c r="T1678" s="19" t="s">
        <v>36</v>
      </c>
      <c r="U1678" s="20" t="s">
        <v>1671</v>
      </c>
      <c r="V1678" s="22">
        <v>38</v>
      </c>
      <c r="W1678" s="22">
        <v>4</v>
      </c>
      <c r="X1678" s="23"/>
    </row>
    <row r="1679" spans="1:24" s="1" customFormat="1" ht="11.1" customHeight="1" x14ac:dyDescent="0.3">
      <c r="A1679" s="24" t="s">
        <v>23</v>
      </c>
      <c r="B1679" s="24" t="s">
        <v>1976</v>
      </c>
      <c r="C1679" s="12" t="s">
        <v>1977</v>
      </c>
      <c r="D1679" s="54"/>
      <c r="E1679" s="39" t="str">
        <f t="shared" si="46"/>
        <v>Еще фото</v>
      </c>
      <c r="F1679" s="13"/>
      <c r="G1679" s="24" t="s">
        <v>808</v>
      </c>
      <c r="H1679" s="24" t="s">
        <v>593</v>
      </c>
      <c r="I1679" s="24" t="s">
        <v>1833</v>
      </c>
      <c r="J1679" s="14" t="s">
        <v>47</v>
      </c>
      <c r="K1679" s="15" t="s">
        <v>578</v>
      </c>
      <c r="L1679" s="57"/>
      <c r="M1679" s="14"/>
      <c r="N1679" s="14" t="s">
        <v>1070</v>
      </c>
      <c r="O1679" s="14"/>
      <c r="P1679" s="15" t="s">
        <v>1979</v>
      </c>
      <c r="Q1679" s="16">
        <v>17899</v>
      </c>
      <c r="R1679" s="17">
        <v>40</v>
      </c>
      <c r="S1679" s="18">
        <v>12350.31</v>
      </c>
      <c r="T1679" s="19" t="s">
        <v>36</v>
      </c>
      <c r="U1679" s="20" t="s">
        <v>955</v>
      </c>
      <c r="V1679" s="22">
        <v>39</v>
      </c>
      <c r="W1679" s="22">
        <v>6</v>
      </c>
      <c r="X1679" s="23"/>
    </row>
    <row r="1680" spans="1:24" s="1" customFormat="1" ht="11.1" customHeight="1" x14ac:dyDescent="0.3">
      <c r="A1680" s="24" t="s">
        <v>23</v>
      </c>
      <c r="B1680" s="24" t="s">
        <v>1976</v>
      </c>
      <c r="C1680" s="12" t="s">
        <v>1977</v>
      </c>
      <c r="D1680" s="54"/>
      <c r="E1680" s="39" t="str">
        <f t="shared" si="46"/>
        <v>Еще фото</v>
      </c>
      <c r="F1680" s="13"/>
      <c r="G1680" s="24" t="s">
        <v>808</v>
      </c>
      <c r="H1680" s="24" t="s">
        <v>593</v>
      </c>
      <c r="I1680" s="24" t="s">
        <v>1833</v>
      </c>
      <c r="J1680" s="14" t="s">
        <v>47</v>
      </c>
      <c r="K1680" s="15" t="s">
        <v>578</v>
      </c>
      <c r="L1680" s="57"/>
      <c r="M1680" s="14"/>
      <c r="N1680" s="14" t="s">
        <v>1070</v>
      </c>
      <c r="O1680" s="14"/>
      <c r="P1680" s="15" t="s">
        <v>1979</v>
      </c>
      <c r="Q1680" s="16">
        <v>17899</v>
      </c>
      <c r="R1680" s="17">
        <v>40</v>
      </c>
      <c r="S1680" s="18">
        <v>12350.31</v>
      </c>
      <c r="T1680" s="19" t="s">
        <v>36</v>
      </c>
      <c r="U1680" s="20" t="s">
        <v>943</v>
      </c>
      <c r="V1680" s="28">
        <v>39.5</v>
      </c>
      <c r="W1680" s="22">
        <v>5</v>
      </c>
      <c r="X1680" s="23"/>
    </row>
    <row r="1681" spans="1:24" s="1" customFormat="1" ht="11.1" customHeight="1" x14ac:dyDescent="0.3">
      <c r="A1681" s="24" t="s">
        <v>23</v>
      </c>
      <c r="B1681" s="24" t="s">
        <v>1976</v>
      </c>
      <c r="C1681" s="12" t="s">
        <v>1977</v>
      </c>
      <c r="D1681" s="54"/>
      <c r="E1681" s="39" t="str">
        <f t="shared" si="46"/>
        <v>Еще фото</v>
      </c>
      <c r="F1681" s="13"/>
      <c r="G1681" s="24" t="s">
        <v>808</v>
      </c>
      <c r="H1681" s="24" t="s">
        <v>593</v>
      </c>
      <c r="I1681" s="24" t="s">
        <v>1833</v>
      </c>
      <c r="J1681" s="14" t="s">
        <v>47</v>
      </c>
      <c r="K1681" s="15" t="s">
        <v>578</v>
      </c>
      <c r="L1681" s="57"/>
      <c r="M1681" s="14"/>
      <c r="N1681" s="14" t="s">
        <v>1070</v>
      </c>
      <c r="O1681" s="14"/>
      <c r="P1681" s="15" t="s">
        <v>1979</v>
      </c>
      <c r="Q1681" s="16">
        <v>17899</v>
      </c>
      <c r="R1681" s="17">
        <v>40</v>
      </c>
      <c r="S1681" s="18">
        <v>12350.31</v>
      </c>
      <c r="T1681" s="19" t="s">
        <v>36</v>
      </c>
      <c r="U1681" s="20" t="s">
        <v>944</v>
      </c>
      <c r="V1681" s="22">
        <v>40</v>
      </c>
      <c r="W1681" s="22">
        <v>5</v>
      </c>
      <c r="X1681" s="23"/>
    </row>
    <row r="1682" spans="1:24" s="1" customFormat="1" ht="11.1" customHeight="1" x14ac:dyDescent="0.3">
      <c r="A1682" s="24" t="s">
        <v>23</v>
      </c>
      <c r="B1682" s="24" t="s">
        <v>1976</v>
      </c>
      <c r="C1682" s="12" t="s">
        <v>1977</v>
      </c>
      <c r="D1682" s="54"/>
      <c r="E1682" s="39" t="str">
        <f t="shared" si="46"/>
        <v>Еще фото</v>
      </c>
      <c r="F1682" s="13"/>
      <c r="G1682" s="24" t="s">
        <v>808</v>
      </c>
      <c r="H1682" s="24" t="s">
        <v>593</v>
      </c>
      <c r="I1682" s="24" t="s">
        <v>1833</v>
      </c>
      <c r="J1682" s="14" t="s">
        <v>47</v>
      </c>
      <c r="K1682" s="15" t="s">
        <v>578</v>
      </c>
      <c r="L1682" s="57"/>
      <c r="M1682" s="14"/>
      <c r="N1682" s="14" t="s">
        <v>1070</v>
      </c>
      <c r="O1682" s="14"/>
      <c r="P1682" s="15" t="s">
        <v>1979</v>
      </c>
      <c r="Q1682" s="16">
        <v>17899</v>
      </c>
      <c r="R1682" s="17">
        <v>40</v>
      </c>
      <c r="S1682" s="18">
        <v>12350.31</v>
      </c>
      <c r="T1682" s="19" t="s">
        <v>36</v>
      </c>
      <c r="U1682" s="20" t="s">
        <v>945</v>
      </c>
      <c r="V1682" s="22">
        <v>41</v>
      </c>
      <c r="W1682" s="22">
        <v>9</v>
      </c>
      <c r="X1682" s="23"/>
    </row>
    <row r="1683" spans="1:24" s="1" customFormat="1" ht="11.1" customHeight="1" x14ac:dyDescent="0.3">
      <c r="A1683" s="24" t="s">
        <v>23</v>
      </c>
      <c r="B1683" s="24" t="s">
        <v>1976</v>
      </c>
      <c r="C1683" s="12" t="s">
        <v>1977</v>
      </c>
      <c r="D1683" s="54"/>
      <c r="E1683" s="39" t="str">
        <f t="shared" si="46"/>
        <v>Еще фото</v>
      </c>
      <c r="F1683" s="13"/>
      <c r="G1683" s="24" t="s">
        <v>808</v>
      </c>
      <c r="H1683" s="24" t="s">
        <v>593</v>
      </c>
      <c r="I1683" s="24" t="s">
        <v>1833</v>
      </c>
      <c r="J1683" s="14" t="s">
        <v>47</v>
      </c>
      <c r="K1683" s="15" t="s">
        <v>578</v>
      </c>
      <c r="L1683" s="57"/>
      <c r="M1683" s="14"/>
      <c r="N1683" s="14" t="s">
        <v>1070</v>
      </c>
      <c r="O1683" s="14"/>
      <c r="P1683" s="15" t="s">
        <v>1979</v>
      </c>
      <c r="Q1683" s="16">
        <v>17899</v>
      </c>
      <c r="R1683" s="17">
        <v>40</v>
      </c>
      <c r="S1683" s="18">
        <v>12350.31</v>
      </c>
      <c r="T1683" s="19" t="s">
        <v>36</v>
      </c>
      <c r="U1683" s="20" t="s">
        <v>875</v>
      </c>
      <c r="V1683" s="28">
        <v>41.5</v>
      </c>
      <c r="W1683" s="22">
        <v>10</v>
      </c>
      <c r="X1683" s="23"/>
    </row>
    <row r="1684" spans="1:24" s="1" customFormat="1" ht="11.1" customHeight="1" x14ac:dyDescent="0.3">
      <c r="A1684" s="24" t="s">
        <v>23</v>
      </c>
      <c r="B1684" s="24" t="s">
        <v>1976</v>
      </c>
      <c r="C1684" s="12" t="s">
        <v>1977</v>
      </c>
      <c r="D1684" s="54"/>
      <c r="E1684" s="39" t="str">
        <f t="shared" si="46"/>
        <v>Еще фото</v>
      </c>
      <c r="F1684" s="13"/>
      <c r="G1684" s="24" t="s">
        <v>808</v>
      </c>
      <c r="H1684" s="24" t="s">
        <v>593</v>
      </c>
      <c r="I1684" s="24" t="s">
        <v>1833</v>
      </c>
      <c r="J1684" s="14" t="s">
        <v>47</v>
      </c>
      <c r="K1684" s="15" t="s">
        <v>578</v>
      </c>
      <c r="L1684" s="57"/>
      <c r="M1684" s="14"/>
      <c r="N1684" s="14" t="s">
        <v>1070</v>
      </c>
      <c r="O1684" s="14"/>
      <c r="P1684" s="15" t="s">
        <v>1979</v>
      </c>
      <c r="Q1684" s="16">
        <v>17899</v>
      </c>
      <c r="R1684" s="17">
        <v>40</v>
      </c>
      <c r="S1684" s="18">
        <v>12350.31</v>
      </c>
      <c r="T1684" s="19" t="s">
        <v>36</v>
      </c>
      <c r="U1684" s="20" t="s">
        <v>876</v>
      </c>
      <c r="V1684" s="22">
        <v>42</v>
      </c>
      <c r="W1684" s="22">
        <v>15</v>
      </c>
      <c r="X1684" s="23"/>
    </row>
    <row r="1685" spans="1:24" s="1" customFormat="1" ht="11.1" customHeight="1" x14ac:dyDescent="0.3">
      <c r="A1685" s="24" t="s">
        <v>23</v>
      </c>
      <c r="B1685" s="24" t="s">
        <v>1976</v>
      </c>
      <c r="C1685" s="12" t="s">
        <v>1977</v>
      </c>
      <c r="D1685" s="54"/>
      <c r="E1685" s="39" t="str">
        <f t="shared" si="46"/>
        <v>Еще фото</v>
      </c>
      <c r="F1685" s="13"/>
      <c r="G1685" s="24" t="s">
        <v>808</v>
      </c>
      <c r="H1685" s="24" t="s">
        <v>593</v>
      </c>
      <c r="I1685" s="24" t="s">
        <v>1833</v>
      </c>
      <c r="J1685" s="14" t="s">
        <v>47</v>
      </c>
      <c r="K1685" s="15" t="s">
        <v>578</v>
      </c>
      <c r="L1685" s="57"/>
      <c r="M1685" s="14"/>
      <c r="N1685" s="14" t="s">
        <v>1070</v>
      </c>
      <c r="O1685" s="14"/>
      <c r="P1685" s="15" t="s">
        <v>1979</v>
      </c>
      <c r="Q1685" s="16">
        <v>17899</v>
      </c>
      <c r="R1685" s="17">
        <v>40</v>
      </c>
      <c r="S1685" s="18">
        <v>12350.31</v>
      </c>
      <c r="T1685" s="19" t="s">
        <v>36</v>
      </c>
      <c r="U1685" s="20" t="s">
        <v>877</v>
      </c>
      <c r="V1685" s="22">
        <v>43</v>
      </c>
      <c r="W1685" s="22">
        <v>12</v>
      </c>
      <c r="X1685" s="23"/>
    </row>
    <row r="1686" spans="1:24" s="1" customFormat="1" ht="11.1" customHeight="1" x14ac:dyDescent="0.3">
      <c r="A1686" s="14" t="s">
        <v>23</v>
      </c>
      <c r="B1686" s="14" t="s">
        <v>1976</v>
      </c>
      <c r="C1686" s="12" t="s">
        <v>1977</v>
      </c>
      <c r="D1686" s="54"/>
      <c r="E1686" s="39" t="str">
        <f t="shared" si="46"/>
        <v>Еще фото</v>
      </c>
      <c r="F1686" s="29"/>
      <c r="G1686" s="14" t="s">
        <v>808</v>
      </c>
      <c r="H1686" s="14" t="s">
        <v>593</v>
      </c>
      <c r="I1686" s="14" t="s">
        <v>1833</v>
      </c>
      <c r="J1686" s="14" t="s">
        <v>47</v>
      </c>
      <c r="K1686" s="14" t="s">
        <v>578</v>
      </c>
      <c r="L1686" s="57"/>
      <c r="M1686" s="14"/>
      <c r="N1686" s="14" t="s">
        <v>1070</v>
      </c>
      <c r="O1686" s="14"/>
      <c r="P1686" s="14" t="s">
        <v>1979</v>
      </c>
      <c r="Q1686" s="30">
        <v>17899</v>
      </c>
      <c r="R1686" s="31">
        <v>40</v>
      </c>
      <c r="S1686" s="32">
        <v>12350.31</v>
      </c>
      <c r="T1686" s="19" t="s">
        <v>36</v>
      </c>
      <c r="U1686" s="20" t="s">
        <v>878</v>
      </c>
      <c r="V1686" s="28">
        <v>43.5</v>
      </c>
      <c r="W1686" s="22">
        <v>13</v>
      </c>
      <c r="X1686" s="23"/>
    </row>
    <row r="1687" spans="1:24" s="1" customFormat="1" ht="11.1" customHeight="1" x14ac:dyDescent="0.3">
      <c r="A1687" s="14" t="s">
        <v>23</v>
      </c>
      <c r="B1687" s="14" t="s">
        <v>1976</v>
      </c>
      <c r="C1687" s="12" t="s">
        <v>1977</v>
      </c>
      <c r="D1687" s="54"/>
      <c r="E1687" s="39" t="str">
        <f t="shared" si="46"/>
        <v>Еще фото</v>
      </c>
      <c r="F1687" s="29"/>
      <c r="G1687" s="14" t="s">
        <v>808</v>
      </c>
      <c r="H1687" s="14" t="s">
        <v>593</v>
      </c>
      <c r="I1687" s="14" t="s">
        <v>1833</v>
      </c>
      <c r="J1687" s="14" t="s">
        <v>47</v>
      </c>
      <c r="K1687" s="14" t="s">
        <v>578</v>
      </c>
      <c r="L1687" s="57"/>
      <c r="M1687" s="14"/>
      <c r="N1687" s="14" t="s">
        <v>1070</v>
      </c>
      <c r="O1687" s="14"/>
      <c r="P1687" s="14" t="s">
        <v>1979</v>
      </c>
      <c r="Q1687" s="30">
        <v>17899</v>
      </c>
      <c r="R1687" s="31">
        <v>40</v>
      </c>
      <c r="S1687" s="32">
        <v>12350.31</v>
      </c>
      <c r="T1687" s="19" t="s">
        <v>36</v>
      </c>
      <c r="U1687" s="20" t="s">
        <v>879</v>
      </c>
      <c r="V1687" s="22">
        <v>44</v>
      </c>
      <c r="W1687" s="22">
        <v>7</v>
      </c>
      <c r="X1687" s="23"/>
    </row>
    <row r="1688" spans="1:24" s="1" customFormat="1" ht="11.1" customHeight="1" x14ac:dyDescent="0.3">
      <c r="A1688" s="14" t="s">
        <v>23</v>
      </c>
      <c r="B1688" s="14" t="s">
        <v>1976</v>
      </c>
      <c r="C1688" s="12" t="s">
        <v>1977</v>
      </c>
      <c r="D1688" s="54"/>
      <c r="E1688" s="39" t="str">
        <f t="shared" si="46"/>
        <v>Еще фото</v>
      </c>
      <c r="F1688" s="29"/>
      <c r="G1688" s="14" t="s">
        <v>808</v>
      </c>
      <c r="H1688" s="14" t="s">
        <v>593</v>
      </c>
      <c r="I1688" s="14" t="s">
        <v>1833</v>
      </c>
      <c r="J1688" s="14" t="s">
        <v>47</v>
      </c>
      <c r="K1688" s="14" t="s">
        <v>578</v>
      </c>
      <c r="L1688" s="57"/>
      <c r="M1688" s="14"/>
      <c r="N1688" s="14" t="s">
        <v>1070</v>
      </c>
      <c r="O1688" s="14"/>
      <c r="P1688" s="14" t="s">
        <v>1979</v>
      </c>
      <c r="Q1688" s="30">
        <v>17899</v>
      </c>
      <c r="R1688" s="31">
        <v>40</v>
      </c>
      <c r="S1688" s="32">
        <v>12350.31</v>
      </c>
      <c r="T1688" s="19" t="s">
        <v>36</v>
      </c>
      <c r="U1688" s="20" t="s">
        <v>880</v>
      </c>
      <c r="V1688" s="28">
        <v>44.5</v>
      </c>
      <c r="W1688" s="22">
        <v>5</v>
      </c>
      <c r="X1688" s="23"/>
    </row>
    <row r="1689" spans="1:24" s="1" customFormat="1" ht="11.1" customHeight="1" x14ac:dyDescent="0.3">
      <c r="A1689" s="14" t="s">
        <v>23</v>
      </c>
      <c r="B1689" s="14" t="s">
        <v>1976</v>
      </c>
      <c r="C1689" s="12" t="s">
        <v>1977</v>
      </c>
      <c r="D1689" s="55"/>
      <c r="E1689" s="39" t="str">
        <f t="shared" si="46"/>
        <v>Еще фото</v>
      </c>
      <c r="F1689" s="29"/>
      <c r="G1689" s="14" t="s">
        <v>808</v>
      </c>
      <c r="H1689" s="14" t="s">
        <v>593</v>
      </c>
      <c r="I1689" s="14" t="s">
        <v>1833</v>
      </c>
      <c r="J1689" s="14" t="s">
        <v>47</v>
      </c>
      <c r="K1689" s="14" t="s">
        <v>578</v>
      </c>
      <c r="L1689" s="58"/>
      <c r="M1689" s="14"/>
      <c r="N1689" s="14" t="s">
        <v>1070</v>
      </c>
      <c r="O1689" s="14"/>
      <c r="P1689" s="14" t="s">
        <v>1979</v>
      </c>
      <c r="Q1689" s="30">
        <v>17899</v>
      </c>
      <c r="R1689" s="31">
        <v>40</v>
      </c>
      <c r="S1689" s="32">
        <v>12350.31</v>
      </c>
      <c r="T1689" s="19" t="s">
        <v>36</v>
      </c>
      <c r="U1689" s="20" t="s">
        <v>1848</v>
      </c>
      <c r="V1689" s="22">
        <v>45</v>
      </c>
      <c r="W1689" s="22">
        <v>3</v>
      </c>
      <c r="X1689" s="23"/>
    </row>
    <row r="1690" spans="1:24" s="1" customFormat="1" ht="11.1" customHeight="1" x14ac:dyDescent="0.3">
      <c r="A1690" s="11" t="s">
        <v>23</v>
      </c>
      <c r="B1690" s="11" t="s">
        <v>1980</v>
      </c>
      <c r="C1690" s="12" t="s">
        <v>1981</v>
      </c>
      <c r="D1690" s="53"/>
      <c r="E1690" s="39" t="str">
        <f t="shared" ref="E1690:E1701" si="47">HYPERLINK("https://www.google.ru/search?q=6006060-001&amp;newwindow=1&amp;tbm=isch","Еще фото")</f>
        <v>Еще фото</v>
      </c>
      <c r="F1690" s="13"/>
      <c r="G1690" s="11" t="s">
        <v>808</v>
      </c>
      <c r="H1690" s="11" t="s">
        <v>593</v>
      </c>
      <c r="I1690" s="14" t="s">
        <v>1833</v>
      </c>
      <c r="J1690" s="14" t="s">
        <v>47</v>
      </c>
      <c r="K1690" s="15" t="s">
        <v>578</v>
      </c>
      <c r="L1690" s="56"/>
      <c r="M1690" s="14"/>
      <c r="N1690" s="14" t="s">
        <v>33</v>
      </c>
      <c r="O1690" s="14"/>
      <c r="P1690" s="15" t="s">
        <v>1982</v>
      </c>
      <c r="Q1690" s="16">
        <v>20299</v>
      </c>
      <c r="R1690" s="17">
        <v>40</v>
      </c>
      <c r="S1690" s="18">
        <v>14006.309999999998</v>
      </c>
      <c r="T1690" s="19" t="s">
        <v>36</v>
      </c>
      <c r="U1690" s="20" t="s">
        <v>1671</v>
      </c>
      <c r="V1690" s="22">
        <v>38</v>
      </c>
      <c r="W1690" s="22">
        <v>5</v>
      </c>
      <c r="X1690" s="23"/>
    </row>
    <row r="1691" spans="1:24" s="1" customFormat="1" ht="11.1" customHeight="1" x14ac:dyDescent="0.3">
      <c r="A1691" s="24" t="s">
        <v>23</v>
      </c>
      <c r="B1691" s="24" t="s">
        <v>1980</v>
      </c>
      <c r="C1691" s="12" t="s">
        <v>1981</v>
      </c>
      <c r="D1691" s="54"/>
      <c r="E1691" s="39" t="str">
        <f t="shared" si="47"/>
        <v>Еще фото</v>
      </c>
      <c r="F1691" s="13"/>
      <c r="G1691" s="24" t="s">
        <v>808</v>
      </c>
      <c r="H1691" s="24" t="s">
        <v>593</v>
      </c>
      <c r="I1691" s="24" t="s">
        <v>1833</v>
      </c>
      <c r="J1691" s="14" t="s">
        <v>47</v>
      </c>
      <c r="K1691" s="15" t="s">
        <v>578</v>
      </c>
      <c r="L1691" s="57"/>
      <c r="M1691" s="14"/>
      <c r="N1691" s="14" t="s">
        <v>33</v>
      </c>
      <c r="O1691" s="14"/>
      <c r="P1691" s="15" t="s">
        <v>1982</v>
      </c>
      <c r="Q1691" s="16">
        <v>20299</v>
      </c>
      <c r="R1691" s="17">
        <v>40</v>
      </c>
      <c r="S1691" s="18">
        <v>14006.309999999998</v>
      </c>
      <c r="T1691" s="19" t="s">
        <v>36</v>
      </c>
      <c r="U1691" s="20" t="s">
        <v>955</v>
      </c>
      <c r="V1691" s="22">
        <v>39</v>
      </c>
      <c r="W1691" s="22">
        <v>3</v>
      </c>
      <c r="X1691" s="23"/>
    </row>
    <row r="1692" spans="1:24" s="1" customFormat="1" ht="11.1" customHeight="1" x14ac:dyDescent="0.3">
      <c r="A1692" s="24" t="s">
        <v>23</v>
      </c>
      <c r="B1692" s="24" t="s">
        <v>1980</v>
      </c>
      <c r="C1692" s="12" t="s">
        <v>1981</v>
      </c>
      <c r="D1692" s="54"/>
      <c r="E1692" s="39" t="str">
        <f t="shared" si="47"/>
        <v>Еще фото</v>
      </c>
      <c r="F1692" s="13"/>
      <c r="G1692" s="24" t="s">
        <v>808</v>
      </c>
      <c r="H1692" s="24" t="s">
        <v>593</v>
      </c>
      <c r="I1692" s="24" t="s">
        <v>1833</v>
      </c>
      <c r="J1692" s="14" t="s">
        <v>47</v>
      </c>
      <c r="K1692" s="15" t="s">
        <v>578</v>
      </c>
      <c r="L1692" s="57"/>
      <c r="M1692" s="14"/>
      <c r="N1692" s="14" t="s">
        <v>33</v>
      </c>
      <c r="O1692" s="14"/>
      <c r="P1692" s="15" t="s">
        <v>1982</v>
      </c>
      <c r="Q1692" s="16">
        <v>20299</v>
      </c>
      <c r="R1692" s="17">
        <v>40</v>
      </c>
      <c r="S1692" s="18">
        <v>14006.309999999998</v>
      </c>
      <c r="T1692" s="19" t="s">
        <v>36</v>
      </c>
      <c r="U1692" s="20" t="s">
        <v>943</v>
      </c>
      <c r="V1692" s="28">
        <v>39.5</v>
      </c>
      <c r="W1692" s="22">
        <v>5</v>
      </c>
      <c r="X1692" s="23"/>
    </row>
    <row r="1693" spans="1:24" s="1" customFormat="1" ht="11.1" customHeight="1" x14ac:dyDescent="0.3">
      <c r="A1693" s="24" t="s">
        <v>23</v>
      </c>
      <c r="B1693" s="24" t="s">
        <v>1980</v>
      </c>
      <c r="C1693" s="12" t="s">
        <v>1981</v>
      </c>
      <c r="D1693" s="54"/>
      <c r="E1693" s="39" t="str">
        <f t="shared" si="47"/>
        <v>Еще фото</v>
      </c>
      <c r="F1693" s="13"/>
      <c r="G1693" s="24" t="s">
        <v>808</v>
      </c>
      <c r="H1693" s="24" t="s">
        <v>593</v>
      </c>
      <c r="I1693" s="24" t="s">
        <v>1833</v>
      </c>
      <c r="J1693" s="14" t="s">
        <v>47</v>
      </c>
      <c r="K1693" s="15" t="s">
        <v>578</v>
      </c>
      <c r="L1693" s="57"/>
      <c r="M1693" s="14"/>
      <c r="N1693" s="14" t="s">
        <v>33</v>
      </c>
      <c r="O1693" s="14"/>
      <c r="P1693" s="15" t="s">
        <v>1982</v>
      </c>
      <c r="Q1693" s="16">
        <v>20299</v>
      </c>
      <c r="R1693" s="17">
        <v>40</v>
      </c>
      <c r="S1693" s="18">
        <v>14006.309999999998</v>
      </c>
      <c r="T1693" s="19" t="s">
        <v>36</v>
      </c>
      <c r="U1693" s="20" t="s">
        <v>944</v>
      </c>
      <c r="V1693" s="22">
        <v>40</v>
      </c>
      <c r="W1693" s="22">
        <v>5</v>
      </c>
      <c r="X1693" s="23"/>
    </row>
    <row r="1694" spans="1:24" s="1" customFormat="1" ht="11.1" customHeight="1" x14ac:dyDescent="0.3">
      <c r="A1694" s="24" t="s">
        <v>23</v>
      </c>
      <c r="B1694" s="24" t="s">
        <v>1980</v>
      </c>
      <c r="C1694" s="12" t="s">
        <v>1981</v>
      </c>
      <c r="D1694" s="54"/>
      <c r="E1694" s="39" t="str">
        <f t="shared" si="47"/>
        <v>Еще фото</v>
      </c>
      <c r="F1694" s="13"/>
      <c r="G1694" s="24" t="s">
        <v>808</v>
      </c>
      <c r="H1694" s="24" t="s">
        <v>593</v>
      </c>
      <c r="I1694" s="24" t="s">
        <v>1833</v>
      </c>
      <c r="J1694" s="14" t="s">
        <v>47</v>
      </c>
      <c r="K1694" s="15" t="s">
        <v>578</v>
      </c>
      <c r="L1694" s="57"/>
      <c r="M1694" s="14"/>
      <c r="N1694" s="14" t="s">
        <v>33</v>
      </c>
      <c r="O1694" s="14"/>
      <c r="P1694" s="15" t="s">
        <v>1982</v>
      </c>
      <c r="Q1694" s="16">
        <v>20299</v>
      </c>
      <c r="R1694" s="17">
        <v>40</v>
      </c>
      <c r="S1694" s="18">
        <v>14006.309999999998</v>
      </c>
      <c r="T1694" s="19" t="s">
        <v>36</v>
      </c>
      <c r="U1694" s="20" t="s">
        <v>945</v>
      </c>
      <c r="V1694" s="22">
        <v>41</v>
      </c>
      <c r="W1694" s="22">
        <v>10</v>
      </c>
      <c r="X1694" s="23"/>
    </row>
    <row r="1695" spans="1:24" s="1" customFormat="1" ht="11.1" customHeight="1" x14ac:dyDescent="0.3">
      <c r="A1695" s="24" t="s">
        <v>23</v>
      </c>
      <c r="B1695" s="24" t="s">
        <v>1980</v>
      </c>
      <c r="C1695" s="12" t="s">
        <v>1981</v>
      </c>
      <c r="D1695" s="54"/>
      <c r="E1695" s="39" t="str">
        <f t="shared" si="47"/>
        <v>Еще фото</v>
      </c>
      <c r="F1695" s="13"/>
      <c r="G1695" s="24" t="s">
        <v>808</v>
      </c>
      <c r="H1695" s="24" t="s">
        <v>593</v>
      </c>
      <c r="I1695" s="24" t="s">
        <v>1833</v>
      </c>
      <c r="J1695" s="14" t="s">
        <v>47</v>
      </c>
      <c r="K1695" s="15" t="s">
        <v>578</v>
      </c>
      <c r="L1695" s="57"/>
      <c r="M1695" s="14"/>
      <c r="N1695" s="14" t="s">
        <v>33</v>
      </c>
      <c r="O1695" s="14"/>
      <c r="P1695" s="15" t="s">
        <v>1982</v>
      </c>
      <c r="Q1695" s="16">
        <v>20299</v>
      </c>
      <c r="R1695" s="17">
        <v>40</v>
      </c>
      <c r="S1695" s="18">
        <v>14006.309999999998</v>
      </c>
      <c r="T1695" s="19" t="s">
        <v>36</v>
      </c>
      <c r="U1695" s="20" t="s">
        <v>875</v>
      </c>
      <c r="V1695" s="28">
        <v>41.5</v>
      </c>
      <c r="W1695" s="22">
        <v>9</v>
      </c>
      <c r="X1695" s="23"/>
    </row>
    <row r="1696" spans="1:24" s="1" customFormat="1" ht="11.1" customHeight="1" x14ac:dyDescent="0.3">
      <c r="A1696" s="24" t="s">
        <v>23</v>
      </c>
      <c r="B1696" s="24" t="s">
        <v>1980</v>
      </c>
      <c r="C1696" s="12" t="s">
        <v>1981</v>
      </c>
      <c r="D1696" s="54"/>
      <c r="E1696" s="39" t="str">
        <f t="shared" si="47"/>
        <v>Еще фото</v>
      </c>
      <c r="F1696" s="13"/>
      <c r="G1696" s="24" t="s">
        <v>808</v>
      </c>
      <c r="H1696" s="24" t="s">
        <v>593</v>
      </c>
      <c r="I1696" s="24" t="s">
        <v>1833</v>
      </c>
      <c r="J1696" s="14" t="s">
        <v>47</v>
      </c>
      <c r="K1696" s="15" t="s">
        <v>578</v>
      </c>
      <c r="L1696" s="57"/>
      <c r="M1696" s="14"/>
      <c r="N1696" s="14" t="s">
        <v>33</v>
      </c>
      <c r="O1696" s="14"/>
      <c r="P1696" s="15" t="s">
        <v>1982</v>
      </c>
      <c r="Q1696" s="16">
        <v>20299</v>
      </c>
      <c r="R1696" s="17">
        <v>40</v>
      </c>
      <c r="S1696" s="18">
        <v>14006.309999999998</v>
      </c>
      <c r="T1696" s="19" t="s">
        <v>36</v>
      </c>
      <c r="U1696" s="20" t="s">
        <v>876</v>
      </c>
      <c r="V1696" s="22">
        <v>42</v>
      </c>
      <c r="W1696" s="22">
        <v>13</v>
      </c>
      <c r="X1696" s="23"/>
    </row>
    <row r="1697" spans="1:24" s="1" customFormat="1" ht="11.1" customHeight="1" x14ac:dyDescent="0.3">
      <c r="A1697" s="24" t="s">
        <v>23</v>
      </c>
      <c r="B1697" s="24" t="s">
        <v>1980</v>
      </c>
      <c r="C1697" s="12" t="s">
        <v>1981</v>
      </c>
      <c r="D1697" s="54"/>
      <c r="E1697" s="39" t="str">
        <f t="shared" si="47"/>
        <v>Еще фото</v>
      </c>
      <c r="F1697" s="13"/>
      <c r="G1697" s="24" t="s">
        <v>808</v>
      </c>
      <c r="H1697" s="24" t="s">
        <v>593</v>
      </c>
      <c r="I1697" s="24" t="s">
        <v>1833</v>
      </c>
      <c r="J1697" s="14" t="s">
        <v>47</v>
      </c>
      <c r="K1697" s="15" t="s">
        <v>578</v>
      </c>
      <c r="L1697" s="57"/>
      <c r="M1697" s="14"/>
      <c r="N1697" s="14" t="s">
        <v>33</v>
      </c>
      <c r="O1697" s="14"/>
      <c r="P1697" s="15" t="s">
        <v>1982</v>
      </c>
      <c r="Q1697" s="16">
        <v>20299</v>
      </c>
      <c r="R1697" s="17">
        <v>40</v>
      </c>
      <c r="S1697" s="18">
        <v>14006.309999999998</v>
      </c>
      <c r="T1697" s="19" t="s">
        <v>36</v>
      </c>
      <c r="U1697" s="20" t="s">
        <v>877</v>
      </c>
      <c r="V1697" s="22">
        <v>43</v>
      </c>
      <c r="W1697" s="22">
        <v>12</v>
      </c>
      <c r="X1697" s="23"/>
    </row>
    <row r="1698" spans="1:24" s="1" customFormat="1" ht="11.1" customHeight="1" x14ac:dyDescent="0.3">
      <c r="A1698" s="24" t="s">
        <v>23</v>
      </c>
      <c r="B1698" s="24" t="s">
        <v>1980</v>
      </c>
      <c r="C1698" s="12" t="s">
        <v>1981</v>
      </c>
      <c r="D1698" s="54"/>
      <c r="E1698" s="39" t="str">
        <f t="shared" si="47"/>
        <v>Еще фото</v>
      </c>
      <c r="F1698" s="13"/>
      <c r="G1698" s="24" t="s">
        <v>808</v>
      </c>
      <c r="H1698" s="24" t="s">
        <v>593</v>
      </c>
      <c r="I1698" s="24" t="s">
        <v>1833</v>
      </c>
      <c r="J1698" s="14" t="s">
        <v>47</v>
      </c>
      <c r="K1698" s="15" t="s">
        <v>578</v>
      </c>
      <c r="L1698" s="57"/>
      <c r="M1698" s="14"/>
      <c r="N1698" s="14" t="s">
        <v>33</v>
      </c>
      <c r="O1698" s="14"/>
      <c r="P1698" s="15" t="s">
        <v>1982</v>
      </c>
      <c r="Q1698" s="16">
        <v>20299</v>
      </c>
      <c r="R1698" s="17">
        <v>40</v>
      </c>
      <c r="S1698" s="18">
        <v>14006.309999999998</v>
      </c>
      <c r="T1698" s="19" t="s">
        <v>36</v>
      </c>
      <c r="U1698" s="20" t="s">
        <v>878</v>
      </c>
      <c r="V1698" s="28">
        <v>43.5</v>
      </c>
      <c r="W1698" s="22">
        <v>10</v>
      </c>
      <c r="X1698" s="23"/>
    </row>
    <row r="1699" spans="1:24" s="1" customFormat="1" ht="11.1" customHeight="1" x14ac:dyDescent="0.3">
      <c r="A1699" s="14" t="s">
        <v>23</v>
      </c>
      <c r="B1699" s="14" t="s">
        <v>1980</v>
      </c>
      <c r="C1699" s="12" t="s">
        <v>1981</v>
      </c>
      <c r="D1699" s="54"/>
      <c r="E1699" s="39" t="str">
        <f t="shared" si="47"/>
        <v>Еще фото</v>
      </c>
      <c r="F1699" s="29"/>
      <c r="G1699" s="14" t="s">
        <v>808</v>
      </c>
      <c r="H1699" s="14" t="s">
        <v>593</v>
      </c>
      <c r="I1699" s="14" t="s">
        <v>1833</v>
      </c>
      <c r="J1699" s="14" t="s">
        <v>47</v>
      </c>
      <c r="K1699" s="14" t="s">
        <v>578</v>
      </c>
      <c r="L1699" s="57"/>
      <c r="M1699" s="14"/>
      <c r="N1699" s="14" t="s">
        <v>33</v>
      </c>
      <c r="O1699" s="14"/>
      <c r="P1699" s="14" t="s">
        <v>1982</v>
      </c>
      <c r="Q1699" s="30">
        <v>20299</v>
      </c>
      <c r="R1699" s="31">
        <v>40</v>
      </c>
      <c r="S1699" s="32">
        <v>14006.309999999998</v>
      </c>
      <c r="T1699" s="19" t="s">
        <v>36</v>
      </c>
      <c r="U1699" s="20" t="s">
        <v>879</v>
      </c>
      <c r="V1699" s="22">
        <v>44</v>
      </c>
      <c r="W1699" s="22">
        <v>4</v>
      </c>
      <c r="X1699" s="23"/>
    </row>
    <row r="1700" spans="1:24" s="1" customFormat="1" ht="11.1" customHeight="1" x14ac:dyDescent="0.3">
      <c r="A1700" s="14" t="s">
        <v>23</v>
      </c>
      <c r="B1700" s="14" t="s">
        <v>1980</v>
      </c>
      <c r="C1700" s="12" t="s">
        <v>1981</v>
      </c>
      <c r="D1700" s="54"/>
      <c r="E1700" s="39" t="str">
        <f t="shared" si="47"/>
        <v>Еще фото</v>
      </c>
      <c r="F1700" s="29"/>
      <c r="G1700" s="14" t="s">
        <v>808</v>
      </c>
      <c r="H1700" s="14" t="s">
        <v>593</v>
      </c>
      <c r="I1700" s="14" t="s">
        <v>1833</v>
      </c>
      <c r="J1700" s="14" t="s">
        <v>47</v>
      </c>
      <c r="K1700" s="14" t="s">
        <v>578</v>
      </c>
      <c r="L1700" s="57"/>
      <c r="M1700" s="14"/>
      <c r="N1700" s="14" t="s">
        <v>33</v>
      </c>
      <c r="O1700" s="14"/>
      <c r="P1700" s="14" t="s">
        <v>1982</v>
      </c>
      <c r="Q1700" s="30">
        <v>20299</v>
      </c>
      <c r="R1700" s="31">
        <v>40</v>
      </c>
      <c r="S1700" s="32">
        <v>14006.309999999998</v>
      </c>
      <c r="T1700" s="19" t="s">
        <v>36</v>
      </c>
      <c r="U1700" s="20" t="s">
        <v>880</v>
      </c>
      <c r="V1700" s="28">
        <v>44.5</v>
      </c>
      <c r="W1700" s="22">
        <v>6</v>
      </c>
      <c r="X1700" s="23"/>
    </row>
    <row r="1701" spans="1:24" s="1" customFormat="1" ht="11.1" customHeight="1" x14ac:dyDescent="0.3">
      <c r="A1701" s="14" t="s">
        <v>23</v>
      </c>
      <c r="B1701" s="14" t="s">
        <v>1980</v>
      </c>
      <c r="C1701" s="12" t="s">
        <v>1981</v>
      </c>
      <c r="D1701" s="55"/>
      <c r="E1701" s="39" t="str">
        <f t="shared" si="47"/>
        <v>Еще фото</v>
      </c>
      <c r="F1701" s="29"/>
      <c r="G1701" s="14" t="s">
        <v>808</v>
      </c>
      <c r="H1701" s="14" t="s">
        <v>593</v>
      </c>
      <c r="I1701" s="14" t="s">
        <v>1833</v>
      </c>
      <c r="J1701" s="14" t="s">
        <v>47</v>
      </c>
      <c r="K1701" s="14" t="s">
        <v>578</v>
      </c>
      <c r="L1701" s="58"/>
      <c r="M1701" s="14"/>
      <c r="N1701" s="14" t="s">
        <v>33</v>
      </c>
      <c r="O1701" s="14"/>
      <c r="P1701" s="14" t="s">
        <v>1982</v>
      </c>
      <c r="Q1701" s="30">
        <v>20299</v>
      </c>
      <c r="R1701" s="31">
        <v>40</v>
      </c>
      <c r="S1701" s="32">
        <v>14006.309999999998</v>
      </c>
      <c r="T1701" s="19" t="s">
        <v>36</v>
      </c>
      <c r="U1701" s="20" t="s">
        <v>1848</v>
      </c>
      <c r="V1701" s="22">
        <v>45</v>
      </c>
      <c r="W1701" s="22">
        <v>3</v>
      </c>
      <c r="X1701" s="23"/>
    </row>
    <row r="1702" spans="1:24" s="1" customFormat="1" ht="51.95" customHeight="1" x14ac:dyDescent="0.3">
      <c r="A1702" s="11" t="s">
        <v>23</v>
      </c>
      <c r="B1702" s="11" t="s">
        <v>1983</v>
      </c>
      <c r="C1702" s="12" t="s">
        <v>1984</v>
      </c>
      <c r="D1702" s="59"/>
      <c r="E1702" s="39" t="str">
        <f>HYPERLINK("https://www.google.ru/search?q=6006061-425&amp;newwindow=1&amp;tbm=isch","Еще фото")</f>
        <v>Еще фото</v>
      </c>
      <c r="F1702" s="13"/>
      <c r="G1702" s="11" t="s">
        <v>808</v>
      </c>
      <c r="H1702" s="11" t="s">
        <v>593</v>
      </c>
      <c r="I1702" s="14" t="s">
        <v>1833</v>
      </c>
      <c r="J1702" s="14" t="s">
        <v>47</v>
      </c>
      <c r="K1702" s="15" t="s">
        <v>578</v>
      </c>
      <c r="L1702" s="56"/>
      <c r="M1702" s="14"/>
      <c r="N1702" s="14" t="s">
        <v>50</v>
      </c>
      <c r="O1702" s="14"/>
      <c r="P1702" s="15" t="s">
        <v>1314</v>
      </c>
      <c r="Q1702" s="16">
        <v>19699</v>
      </c>
      <c r="R1702" s="17">
        <v>40</v>
      </c>
      <c r="S1702" s="18">
        <v>13592.309999999998</v>
      </c>
      <c r="T1702" s="19" t="s">
        <v>36</v>
      </c>
      <c r="U1702" s="20" t="s">
        <v>876</v>
      </c>
      <c r="V1702" s="22">
        <v>42</v>
      </c>
      <c r="W1702" s="22">
        <v>2</v>
      </c>
      <c r="X1702" s="23"/>
    </row>
    <row r="1703" spans="1:24" s="1" customFormat="1" ht="60.95" customHeight="1" x14ac:dyDescent="0.3">
      <c r="A1703" s="24" t="s">
        <v>23</v>
      </c>
      <c r="B1703" s="24" t="s">
        <v>1983</v>
      </c>
      <c r="C1703" s="12" t="s">
        <v>1984</v>
      </c>
      <c r="D1703" s="60"/>
      <c r="E1703" s="39" t="str">
        <f>HYPERLINK("https://www.google.ru/search?q=6006061-425&amp;newwindow=1&amp;tbm=isch","Еще фото")</f>
        <v>Еще фото</v>
      </c>
      <c r="F1703" s="13"/>
      <c r="G1703" s="24" t="s">
        <v>808</v>
      </c>
      <c r="H1703" s="24" t="s">
        <v>593</v>
      </c>
      <c r="I1703" s="24" t="s">
        <v>1833</v>
      </c>
      <c r="J1703" s="14" t="s">
        <v>47</v>
      </c>
      <c r="K1703" s="15" t="s">
        <v>578</v>
      </c>
      <c r="L1703" s="58"/>
      <c r="M1703" s="14"/>
      <c r="N1703" s="14" t="s">
        <v>50</v>
      </c>
      <c r="O1703" s="14"/>
      <c r="P1703" s="15" t="s">
        <v>1314</v>
      </c>
      <c r="Q1703" s="16">
        <v>19699</v>
      </c>
      <c r="R1703" s="17">
        <v>40</v>
      </c>
      <c r="S1703" s="18">
        <v>13592.309999999998</v>
      </c>
      <c r="T1703" s="19" t="s">
        <v>36</v>
      </c>
      <c r="U1703" s="20" t="s">
        <v>877</v>
      </c>
      <c r="V1703" s="22">
        <v>43</v>
      </c>
      <c r="W1703" s="22">
        <v>6</v>
      </c>
      <c r="X1703" s="23"/>
    </row>
    <row r="1704" spans="1:24" s="1" customFormat="1" ht="26.1" customHeight="1" x14ac:dyDescent="0.3">
      <c r="A1704" s="11" t="s">
        <v>23</v>
      </c>
      <c r="B1704" s="11" t="s">
        <v>1985</v>
      </c>
      <c r="C1704" s="12" t="s">
        <v>1986</v>
      </c>
      <c r="D1704" s="53"/>
      <c r="E1704" s="39" t="str">
        <f>HYPERLINK("https://www.google.ru/search?q=6007037-001&amp;newwindow=1&amp;tbm=isch","Еще фото")</f>
        <v>Еще фото</v>
      </c>
      <c r="F1704" s="13"/>
      <c r="G1704" s="11" t="s">
        <v>1954</v>
      </c>
      <c r="H1704" s="11" t="s">
        <v>593</v>
      </c>
      <c r="I1704" s="14" t="s">
        <v>1833</v>
      </c>
      <c r="J1704" s="14" t="s">
        <v>47</v>
      </c>
      <c r="K1704" s="15" t="s">
        <v>30</v>
      </c>
      <c r="L1704" s="56" t="s">
        <v>1987</v>
      </c>
      <c r="M1704" s="14"/>
      <c r="N1704" s="14" t="s">
        <v>33</v>
      </c>
      <c r="O1704" s="14"/>
      <c r="P1704" s="15" t="s">
        <v>1988</v>
      </c>
      <c r="Q1704" s="16">
        <v>11899</v>
      </c>
      <c r="R1704" s="17">
        <v>40</v>
      </c>
      <c r="S1704" s="18">
        <v>8210.31</v>
      </c>
      <c r="T1704" s="19" t="s">
        <v>36</v>
      </c>
      <c r="U1704" s="20" t="s">
        <v>600</v>
      </c>
      <c r="V1704" s="22">
        <v>40</v>
      </c>
      <c r="W1704" s="22">
        <v>2</v>
      </c>
      <c r="X1704" s="23"/>
    </row>
    <row r="1705" spans="1:24" s="1" customFormat="1" ht="26.1" customHeight="1" x14ac:dyDescent="0.3">
      <c r="A1705" s="24" t="s">
        <v>23</v>
      </c>
      <c r="B1705" s="24" t="s">
        <v>1985</v>
      </c>
      <c r="C1705" s="12" t="s">
        <v>1986</v>
      </c>
      <c r="D1705" s="54"/>
      <c r="E1705" s="39" t="str">
        <f>HYPERLINK("https://www.google.ru/search?q=6007037-001&amp;newwindow=1&amp;tbm=isch","Еще фото")</f>
        <v>Еще фото</v>
      </c>
      <c r="F1705" s="13"/>
      <c r="G1705" s="24" t="s">
        <v>1954</v>
      </c>
      <c r="H1705" s="24" t="s">
        <v>593</v>
      </c>
      <c r="I1705" s="24" t="s">
        <v>1833</v>
      </c>
      <c r="J1705" s="14" t="s">
        <v>47</v>
      </c>
      <c r="K1705" s="15" t="s">
        <v>30</v>
      </c>
      <c r="L1705" s="57"/>
      <c r="M1705" s="14"/>
      <c r="N1705" s="14" t="s">
        <v>33</v>
      </c>
      <c r="O1705" s="14"/>
      <c r="P1705" s="15" t="s">
        <v>1988</v>
      </c>
      <c r="Q1705" s="16">
        <v>11899</v>
      </c>
      <c r="R1705" s="17">
        <v>40</v>
      </c>
      <c r="S1705" s="18">
        <v>8210.31</v>
      </c>
      <c r="T1705" s="19" t="s">
        <v>36</v>
      </c>
      <c r="U1705" s="20" t="s">
        <v>601</v>
      </c>
      <c r="V1705" s="22">
        <v>41</v>
      </c>
      <c r="W1705" s="22">
        <v>5</v>
      </c>
      <c r="X1705" s="23"/>
    </row>
    <row r="1706" spans="1:24" s="1" customFormat="1" ht="26.1" customHeight="1" x14ac:dyDescent="0.3">
      <c r="A1706" s="24" t="s">
        <v>23</v>
      </c>
      <c r="B1706" s="24" t="s">
        <v>1985</v>
      </c>
      <c r="C1706" s="12" t="s">
        <v>1986</v>
      </c>
      <c r="D1706" s="54"/>
      <c r="E1706" s="39" t="str">
        <f>HYPERLINK("https://www.google.ru/search?q=6007037-001&amp;newwindow=1&amp;tbm=isch","Еще фото")</f>
        <v>Еще фото</v>
      </c>
      <c r="F1706" s="13"/>
      <c r="G1706" s="24" t="s">
        <v>1954</v>
      </c>
      <c r="H1706" s="24" t="s">
        <v>593</v>
      </c>
      <c r="I1706" s="24" t="s">
        <v>1833</v>
      </c>
      <c r="J1706" s="14" t="s">
        <v>47</v>
      </c>
      <c r="K1706" s="15" t="s">
        <v>30</v>
      </c>
      <c r="L1706" s="57"/>
      <c r="M1706" s="14"/>
      <c r="N1706" s="14" t="s">
        <v>33</v>
      </c>
      <c r="O1706" s="14"/>
      <c r="P1706" s="15" t="s">
        <v>1988</v>
      </c>
      <c r="Q1706" s="16">
        <v>11899</v>
      </c>
      <c r="R1706" s="17">
        <v>40</v>
      </c>
      <c r="S1706" s="18">
        <v>8210.31</v>
      </c>
      <c r="T1706" s="19" t="s">
        <v>36</v>
      </c>
      <c r="U1706" s="20" t="s">
        <v>603</v>
      </c>
      <c r="V1706" s="22">
        <v>42</v>
      </c>
      <c r="W1706" s="22">
        <v>3</v>
      </c>
      <c r="X1706" s="23"/>
    </row>
    <row r="1707" spans="1:24" s="1" customFormat="1" ht="26.1" customHeight="1" x14ac:dyDescent="0.3">
      <c r="A1707" s="24" t="s">
        <v>23</v>
      </c>
      <c r="B1707" s="24" t="s">
        <v>1985</v>
      </c>
      <c r="C1707" s="12" t="s">
        <v>1986</v>
      </c>
      <c r="D1707" s="55"/>
      <c r="E1707" s="39" t="str">
        <f>HYPERLINK("https://www.google.ru/search?q=6007037-001&amp;newwindow=1&amp;tbm=isch","Еще фото")</f>
        <v>Еще фото</v>
      </c>
      <c r="F1707" s="13"/>
      <c r="G1707" s="24" t="s">
        <v>1954</v>
      </c>
      <c r="H1707" s="24" t="s">
        <v>593</v>
      </c>
      <c r="I1707" s="24" t="s">
        <v>1833</v>
      </c>
      <c r="J1707" s="14" t="s">
        <v>47</v>
      </c>
      <c r="K1707" s="15" t="s">
        <v>30</v>
      </c>
      <c r="L1707" s="58"/>
      <c r="M1707" s="14"/>
      <c r="N1707" s="14" t="s">
        <v>33</v>
      </c>
      <c r="O1707" s="14"/>
      <c r="P1707" s="15" t="s">
        <v>1988</v>
      </c>
      <c r="Q1707" s="16">
        <v>11899</v>
      </c>
      <c r="R1707" s="17">
        <v>40</v>
      </c>
      <c r="S1707" s="18">
        <v>8210.31</v>
      </c>
      <c r="T1707" s="19" t="s">
        <v>36</v>
      </c>
      <c r="U1707" s="20" t="s">
        <v>606</v>
      </c>
      <c r="V1707" s="22">
        <v>44</v>
      </c>
      <c r="W1707" s="22">
        <v>1</v>
      </c>
      <c r="X1707" s="23"/>
    </row>
    <row r="1708" spans="1:24" s="1" customFormat="1" ht="35.1" customHeight="1" x14ac:dyDescent="0.3">
      <c r="A1708" s="11" t="s">
        <v>23</v>
      </c>
      <c r="B1708" s="11" t="s">
        <v>1884</v>
      </c>
      <c r="C1708" s="12" t="s">
        <v>1989</v>
      </c>
      <c r="D1708" s="53"/>
      <c r="E1708" s="39" t="str">
        <f>HYPERLINK("https://www.google.ru/search?q=6007183-008&amp;newwindow=1&amp;tbm=isch","Еще фото")</f>
        <v>Еще фото</v>
      </c>
      <c r="F1708" s="13" t="s">
        <v>98</v>
      </c>
      <c r="G1708" s="11" t="s">
        <v>808</v>
      </c>
      <c r="H1708" s="11" t="s">
        <v>593</v>
      </c>
      <c r="I1708" s="14" t="s">
        <v>1833</v>
      </c>
      <c r="J1708" s="14" t="s">
        <v>47</v>
      </c>
      <c r="K1708" s="15" t="s">
        <v>30</v>
      </c>
      <c r="L1708" s="56" t="s">
        <v>1886</v>
      </c>
      <c r="M1708" s="14"/>
      <c r="N1708" s="14" t="s">
        <v>33</v>
      </c>
      <c r="O1708" s="14"/>
      <c r="P1708" s="15" t="s">
        <v>870</v>
      </c>
      <c r="Q1708" s="16">
        <v>17399</v>
      </c>
      <c r="R1708" s="17">
        <v>40</v>
      </c>
      <c r="S1708" s="18">
        <v>12005.31</v>
      </c>
      <c r="T1708" s="19" t="s">
        <v>36</v>
      </c>
      <c r="U1708" s="20" t="s">
        <v>598</v>
      </c>
      <c r="V1708" s="22">
        <v>39</v>
      </c>
      <c r="W1708" s="22">
        <v>1</v>
      </c>
      <c r="X1708" s="23"/>
    </row>
    <row r="1709" spans="1:24" s="1" customFormat="1" ht="35.1" customHeight="1" x14ac:dyDescent="0.3">
      <c r="A1709" s="24" t="s">
        <v>23</v>
      </c>
      <c r="B1709" s="24" t="s">
        <v>1884</v>
      </c>
      <c r="C1709" s="12" t="s">
        <v>1989</v>
      </c>
      <c r="D1709" s="54"/>
      <c r="E1709" s="39" t="str">
        <f>HYPERLINK("https://www.google.ru/search?q=6007183-008&amp;newwindow=1&amp;tbm=isch","Еще фото")</f>
        <v>Еще фото</v>
      </c>
      <c r="F1709" s="13" t="s">
        <v>98</v>
      </c>
      <c r="G1709" s="24" t="s">
        <v>808</v>
      </c>
      <c r="H1709" s="24" t="s">
        <v>593</v>
      </c>
      <c r="I1709" s="24" t="s">
        <v>1833</v>
      </c>
      <c r="J1709" s="14" t="s">
        <v>47</v>
      </c>
      <c r="K1709" s="15" t="s">
        <v>30</v>
      </c>
      <c r="L1709" s="57"/>
      <c r="M1709" s="14"/>
      <c r="N1709" s="14" t="s">
        <v>33</v>
      </c>
      <c r="O1709" s="14"/>
      <c r="P1709" s="15" t="s">
        <v>870</v>
      </c>
      <c r="Q1709" s="16">
        <v>17399</v>
      </c>
      <c r="R1709" s="17">
        <v>40</v>
      </c>
      <c r="S1709" s="18">
        <v>12005.31</v>
      </c>
      <c r="T1709" s="19" t="s">
        <v>36</v>
      </c>
      <c r="U1709" s="20" t="s">
        <v>599</v>
      </c>
      <c r="V1709" s="28">
        <v>39.5</v>
      </c>
      <c r="W1709" s="22">
        <v>2</v>
      </c>
      <c r="X1709" s="23"/>
    </row>
    <row r="1710" spans="1:24" s="1" customFormat="1" ht="36.950000000000003" customHeight="1" x14ac:dyDescent="0.3">
      <c r="A1710" s="24" t="s">
        <v>23</v>
      </c>
      <c r="B1710" s="24" t="s">
        <v>1884</v>
      </c>
      <c r="C1710" s="12" t="s">
        <v>1989</v>
      </c>
      <c r="D1710" s="55"/>
      <c r="E1710" s="39" t="str">
        <f>HYPERLINK("https://www.google.ru/search?q=6007183-008&amp;newwindow=1&amp;tbm=isch","Еще фото")</f>
        <v>Еще фото</v>
      </c>
      <c r="F1710" s="13" t="s">
        <v>98</v>
      </c>
      <c r="G1710" s="24" t="s">
        <v>808</v>
      </c>
      <c r="H1710" s="24" t="s">
        <v>593</v>
      </c>
      <c r="I1710" s="24" t="s">
        <v>1833</v>
      </c>
      <c r="J1710" s="14" t="s">
        <v>47</v>
      </c>
      <c r="K1710" s="15" t="s">
        <v>30</v>
      </c>
      <c r="L1710" s="58"/>
      <c r="M1710" s="14"/>
      <c r="N1710" s="14" t="s">
        <v>33</v>
      </c>
      <c r="O1710" s="14"/>
      <c r="P1710" s="15" t="s">
        <v>870</v>
      </c>
      <c r="Q1710" s="16">
        <v>17399</v>
      </c>
      <c r="R1710" s="17">
        <v>40</v>
      </c>
      <c r="S1710" s="18">
        <v>12005.31</v>
      </c>
      <c r="T1710" s="19" t="s">
        <v>36</v>
      </c>
      <c r="U1710" s="20" t="s">
        <v>1807</v>
      </c>
      <c r="V1710" s="28">
        <v>46.5</v>
      </c>
      <c r="W1710" s="22">
        <v>1</v>
      </c>
      <c r="X1710" s="23"/>
    </row>
    <row r="1711" spans="1:24" s="1" customFormat="1" ht="51.95" customHeight="1" x14ac:dyDescent="0.3">
      <c r="A1711" s="11" t="s">
        <v>23</v>
      </c>
      <c r="B1711" s="11" t="s">
        <v>1884</v>
      </c>
      <c r="C1711" s="12" t="s">
        <v>1990</v>
      </c>
      <c r="D1711" s="59"/>
      <c r="E1711" s="39" t="str">
        <f>HYPERLINK("https://www.google.ru/search?q=6007183-069&amp;newwindow=1&amp;tbm=isch","Еще фото")</f>
        <v>Еще фото</v>
      </c>
      <c r="F1711" s="13" t="s">
        <v>98</v>
      </c>
      <c r="G1711" s="11" t="s">
        <v>808</v>
      </c>
      <c r="H1711" s="11" t="s">
        <v>593</v>
      </c>
      <c r="I1711" s="14" t="s">
        <v>1833</v>
      </c>
      <c r="J1711" s="14" t="s">
        <v>47</v>
      </c>
      <c r="K1711" s="15" t="s">
        <v>30</v>
      </c>
      <c r="L1711" s="56" t="s">
        <v>1886</v>
      </c>
      <c r="M1711" s="14"/>
      <c r="N1711" s="14" t="s">
        <v>84</v>
      </c>
      <c r="O1711" s="14"/>
      <c r="P1711" s="15" t="s">
        <v>919</v>
      </c>
      <c r="Q1711" s="16">
        <v>17399</v>
      </c>
      <c r="R1711" s="17">
        <v>40</v>
      </c>
      <c r="S1711" s="18">
        <v>12005.31</v>
      </c>
      <c r="T1711" s="19" t="s">
        <v>36</v>
      </c>
      <c r="U1711" s="20" t="s">
        <v>603</v>
      </c>
      <c r="V1711" s="22">
        <v>42</v>
      </c>
      <c r="W1711" s="22">
        <v>2</v>
      </c>
      <c r="X1711" s="23"/>
    </row>
    <row r="1712" spans="1:24" s="1" customFormat="1" ht="60.95" customHeight="1" x14ac:dyDescent="0.3">
      <c r="A1712" s="24" t="s">
        <v>23</v>
      </c>
      <c r="B1712" s="24" t="s">
        <v>1884</v>
      </c>
      <c r="C1712" s="12" t="s">
        <v>1990</v>
      </c>
      <c r="D1712" s="60"/>
      <c r="E1712" s="39" t="str">
        <f>HYPERLINK("https://www.google.ru/search?q=6007183-069&amp;newwindow=1&amp;tbm=isch","Еще фото")</f>
        <v>Еще фото</v>
      </c>
      <c r="F1712" s="13" t="s">
        <v>98</v>
      </c>
      <c r="G1712" s="24" t="s">
        <v>808</v>
      </c>
      <c r="H1712" s="24" t="s">
        <v>593</v>
      </c>
      <c r="I1712" s="24" t="s">
        <v>1833</v>
      </c>
      <c r="J1712" s="14" t="s">
        <v>47</v>
      </c>
      <c r="K1712" s="15" t="s">
        <v>30</v>
      </c>
      <c r="L1712" s="58"/>
      <c r="M1712" s="14"/>
      <c r="N1712" s="14" t="s">
        <v>84</v>
      </c>
      <c r="O1712" s="14"/>
      <c r="P1712" s="15" t="s">
        <v>919</v>
      </c>
      <c r="Q1712" s="16">
        <v>17399</v>
      </c>
      <c r="R1712" s="17">
        <v>40</v>
      </c>
      <c r="S1712" s="18">
        <v>12005.31</v>
      </c>
      <c r="T1712" s="19" t="s">
        <v>36</v>
      </c>
      <c r="U1712" s="20" t="s">
        <v>606</v>
      </c>
      <c r="V1712" s="22">
        <v>44</v>
      </c>
      <c r="W1712" s="22">
        <v>1</v>
      </c>
      <c r="X1712" s="23"/>
    </row>
    <row r="1713" spans="1:24" s="1" customFormat="1" ht="17.100000000000001" customHeight="1" x14ac:dyDescent="0.3">
      <c r="A1713" s="11" t="s">
        <v>23</v>
      </c>
      <c r="B1713" s="11" t="s">
        <v>1991</v>
      </c>
      <c r="C1713" s="12" t="s">
        <v>1992</v>
      </c>
      <c r="D1713" s="53"/>
      <c r="E1713" s="39" t="str">
        <f t="shared" ref="E1713:E1718" si="48">HYPERLINK("https://www.google.ru/search?q=6007184-001&amp;newwindow=1&amp;tbm=isch","Еще фото")</f>
        <v>Еще фото</v>
      </c>
      <c r="F1713" s="13"/>
      <c r="G1713" s="11" t="s">
        <v>808</v>
      </c>
      <c r="H1713" s="11" t="s">
        <v>593</v>
      </c>
      <c r="I1713" s="14" t="s">
        <v>1833</v>
      </c>
      <c r="J1713" s="14" t="s">
        <v>47</v>
      </c>
      <c r="K1713" s="15" t="s">
        <v>64</v>
      </c>
      <c r="L1713" s="56" t="s">
        <v>1886</v>
      </c>
      <c r="M1713" s="14"/>
      <c r="N1713" s="14" t="s">
        <v>33</v>
      </c>
      <c r="O1713" s="14"/>
      <c r="P1713" s="15" t="s">
        <v>870</v>
      </c>
      <c r="Q1713" s="16">
        <v>17399</v>
      </c>
      <c r="R1713" s="17">
        <v>40</v>
      </c>
      <c r="S1713" s="18">
        <v>12005.31</v>
      </c>
      <c r="T1713" s="19" t="s">
        <v>36</v>
      </c>
      <c r="U1713" s="20" t="s">
        <v>820</v>
      </c>
      <c r="V1713" s="22">
        <v>36</v>
      </c>
      <c r="W1713" s="22">
        <v>2</v>
      </c>
      <c r="X1713" s="23"/>
    </row>
    <row r="1714" spans="1:24" s="1" customFormat="1" ht="17.100000000000001" customHeight="1" x14ac:dyDescent="0.3">
      <c r="A1714" s="24" t="s">
        <v>23</v>
      </c>
      <c r="B1714" s="24" t="s">
        <v>1991</v>
      </c>
      <c r="C1714" s="12" t="s">
        <v>1992</v>
      </c>
      <c r="D1714" s="54"/>
      <c r="E1714" s="39" t="str">
        <f t="shared" si="48"/>
        <v>Еще фото</v>
      </c>
      <c r="F1714" s="13"/>
      <c r="G1714" s="24" t="s">
        <v>808</v>
      </c>
      <c r="H1714" s="24" t="s">
        <v>593</v>
      </c>
      <c r="I1714" s="24" t="s">
        <v>1833</v>
      </c>
      <c r="J1714" s="14" t="s">
        <v>47</v>
      </c>
      <c r="K1714" s="15" t="s">
        <v>64</v>
      </c>
      <c r="L1714" s="57"/>
      <c r="M1714" s="14"/>
      <c r="N1714" s="14" t="s">
        <v>33</v>
      </c>
      <c r="O1714" s="14"/>
      <c r="P1714" s="15" t="s">
        <v>870</v>
      </c>
      <c r="Q1714" s="16">
        <v>17399</v>
      </c>
      <c r="R1714" s="17">
        <v>40</v>
      </c>
      <c r="S1714" s="18">
        <v>12005.31</v>
      </c>
      <c r="T1714" s="19" t="s">
        <v>36</v>
      </c>
      <c r="U1714" s="20" t="s">
        <v>814</v>
      </c>
      <c r="V1714" s="28">
        <v>36.5</v>
      </c>
      <c r="W1714" s="22">
        <v>4</v>
      </c>
      <c r="X1714" s="23"/>
    </row>
    <row r="1715" spans="1:24" s="1" customFormat="1" ht="17.100000000000001" customHeight="1" x14ac:dyDescent="0.3">
      <c r="A1715" s="24" t="s">
        <v>23</v>
      </c>
      <c r="B1715" s="24" t="s">
        <v>1991</v>
      </c>
      <c r="C1715" s="12" t="s">
        <v>1992</v>
      </c>
      <c r="D1715" s="54"/>
      <c r="E1715" s="39" t="str">
        <f t="shared" si="48"/>
        <v>Еще фото</v>
      </c>
      <c r="F1715" s="13"/>
      <c r="G1715" s="24" t="s">
        <v>808</v>
      </c>
      <c r="H1715" s="24" t="s">
        <v>593</v>
      </c>
      <c r="I1715" s="24" t="s">
        <v>1833</v>
      </c>
      <c r="J1715" s="14" t="s">
        <v>47</v>
      </c>
      <c r="K1715" s="15" t="s">
        <v>64</v>
      </c>
      <c r="L1715" s="57"/>
      <c r="M1715" s="14"/>
      <c r="N1715" s="14" t="s">
        <v>33</v>
      </c>
      <c r="O1715" s="14"/>
      <c r="P1715" s="15" t="s">
        <v>870</v>
      </c>
      <c r="Q1715" s="16">
        <v>17399</v>
      </c>
      <c r="R1715" s="17">
        <v>40</v>
      </c>
      <c r="S1715" s="18">
        <v>12005.31</v>
      </c>
      <c r="T1715" s="19" t="s">
        <v>36</v>
      </c>
      <c r="U1715" s="20" t="s">
        <v>598</v>
      </c>
      <c r="V1715" s="22">
        <v>37</v>
      </c>
      <c r="W1715" s="22">
        <v>16</v>
      </c>
      <c r="X1715" s="23"/>
    </row>
    <row r="1716" spans="1:24" s="1" customFormat="1" ht="17.100000000000001" customHeight="1" x14ac:dyDescent="0.3">
      <c r="A1716" s="24" t="s">
        <v>23</v>
      </c>
      <c r="B1716" s="24" t="s">
        <v>1991</v>
      </c>
      <c r="C1716" s="12" t="s">
        <v>1992</v>
      </c>
      <c r="D1716" s="54"/>
      <c r="E1716" s="39" t="str">
        <f t="shared" si="48"/>
        <v>Еще фото</v>
      </c>
      <c r="F1716" s="13"/>
      <c r="G1716" s="24" t="s">
        <v>808</v>
      </c>
      <c r="H1716" s="24" t="s">
        <v>593</v>
      </c>
      <c r="I1716" s="24" t="s">
        <v>1833</v>
      </c>
      <c r="J1716" s="14" t="s">
        <v>47</v>
      </c>
      <c r="K1716" s="15" t="s">
        <v>64</v>
      </c>
      <c r="L1716" s="57"/>
      <c r="M1716" s="14"/>
      <c r="N1716" s="14" t="s">
        <v>33</v>
      </c>
      <c r="O1716" s="14"/>
      <c r="P1716" s="15" t="s">
        <v>870</v>
      </c>
      <c r="Q1716" s="16">
        <v>17399</v>
      </c>
      <c r="R1716" s="17">
        <v>40</v>
      </c>
      <c r="S1716" s="18">
        <v>12005.31</v>
      </c>
      <c r="T1716" s="19" t="s">
        <v>36</v>
      </c>
      <c r="U1716" s="20" t="s">
        <v>600</v>
      </c>
      <c r="V1716" s="22">
        <v>38</v>
      </c>
      <c r="W1716" s="22">
        <v>8</v>
      </c>
      <c r="X1716" s="23"/>
    </row>
    <row r="1717" spans="1:24" s="1" customFormat="1" ht="17.100000000000001" customHeight="1" x14ac:dyDescent="0.3">
      <c r="A1717" s="24" t="s">
        <v>23</v>
      </c>
      <c r="B1717" s="24" t="s">
        <v>1991</v>
      </c>
      <c r="C1717" s="12" t="s">
        <v>1992</v>
      </c>
      <c r="D1717" s="54"/>
      <c r="E1717" s="39" t="str">
        <f t="shared" si="48"/>
        <v>Еще фото</v>
      </c>
      <c r="F1717" s="13"/>
      <c r="G1717" s="24" t="s">
        <v>808</v>
      </c>
      <c r="H1717" s="24" t="s">
        <v>593</v>
      </c>
      <c r="I1717" s="24" t="s">
        <v>1833</v>
      </c>
      <c r="J1717" s="14" t="s">
        <v>47</v>
      </c>
      <c r="K1717" s="15" t="s">
        <v>64</v>
      </c>
      <c r="L1717" s="57"/>
      <c r="M1717" s="14"/>
      <c r="N1717" s="14" t="s">
        <v>33</v>
      </c>
      <c r="O1717" s="14"/>
      <c r="P1717" s="15" t="s">
        <v>870</v>
      </c>
      <c r="Q1717" s="16">
        <v>17399</v>
      </c>
      <c r="R1717" s="17">
        <v>40</v>
      </c>
      <c r="S1717" s="18">
        <v>12005.31</v>
      </c>
      <c r="T1717" s="19" t="s">
        <v>36</v>
      </c>
      <c r="U1717" s="20" t="s">
        <v>601</v>
      </c>
      <c r="V1717" s="22">
        <v>39</v>
      </c>
      <c r="W1717" s="22">
        <v>4</v>
      </c>
      <c r="X1717" s="23"/>
    </row>
    <row r="1718" spans="1:24" s="1" customFormat="1" ht="21.95" customHeight="1" x14ac:dyDescent="0.3">
      <c r="A1718" s="24" t="s">
        <v>23</v>
      </c>
      <c r="B1718" s="24" t="s">
        <v>1991</v>
      </c>
      <c r="C1718" s="12" t="s">
        <v>1992</v>
      </c>
      <c r="D1718" s="55"/>
      <c r="E1718" s="39" t="str">
        <f t="shared" si="48"/>
        <v>Еще фото</v>
      </c>
      <c r="F1718" s="13"/>
      <c r="G1718" s="24" t="s">
        <v>808</v>
      </c>
      <c r="H1718" s="24" t="s">
        <v>593</v>
      </c>
      <c r="I1718" s="24" t="s">
        <v>1833</v>
      </c>
      <c r="J1718" s="14" t="s">
        <v>47</v>
      </c>
      <c r="K1718" s="15" t="s">
        <v>64</v>
      </c>
      <c r="L1718" s="58"/>
      <c r="M1718" s="14"/>
      <c r="N1718" s="14" t="s">
        <v>33</v>
      </c>
      <c r="O1718" s="14"/>
      <c r="P1718" s="15" t="s">
        <v>870</v>
      </c>
      <c r="Q1718" s="16">
        <v>17399</v>
      </c>
      <c r="R1718" s="17">
        <v>40</v>
      </c>
      <c r="S1718" s="18">
        <v>12005.31</v>
      </c>
      <c r="T1718" s="19" t="s">
        <v>36</v>
      </c>
      <c r="U1718" s="20" t="s">
        <v>602</v>
      </c>
      <c r="V1718" s="28">
        <v>39.5</v>
      </c>
      <c r="W1718" s="22">
        <v>1</v>
      </c>
      <c r="X1718" s="23"/>
    </row>
    <row r="1719" spans="1:24" s="1" customFormat="1" ht="51.95" customHeight="1" x14ac:dyDescent="0.3">
      <c r="A1719" s="11" t="s">
        <v>23</v>
      </c>
      <c r="B1719" s="11" t="s">
        <v>1993</v>
      </c>
      <c r="C1719" s="12" t="s">
        <v>1994</v>
      </c>
      <c r="D1719" s="59"/>
      <c r="E1719" s="39" t="str">
        <f>HYPERLINK("https://www.google.ru/search?q=6008992-002&amp;newwindow=1&amp;tbm=isch","Еще фото")</f>
        <v>Еще фото</v>
      </c>
      <c r="F1719" s="13"/>
      <c r="G1719" s="11" t="s">
        <v>808</v>
      </c>
      <c r="H1719" s="11" t="s">
        <v>593</v>
      </c>
      <c r="I1719" s="14" t="s">
        <v>1833</v>
      </c>
      <c r="J1719" s="14" t="s">
        <v>47</v>
      </c>
      <c r="K1719" s="15" t="s">
        <v>578</v>
      </c>
      <c r="L1719" s="56" t="s">
        <v>1995</v>
      </c>
      <c r="M1719" s="14"/>
      <c r="N1719" s="14" t="s">
        <v>33</v>
      </c>
      <c r="O1719" s="14"/>
      <c r="P1719" s="15" t="s">
        <v>919</v>
      </c>
      <c r="Q1719" s="16">
        <v>15799</v>
      </c>
      <c r="R1719" s="17">
        <v>40</v>
      </c>
      <c r="S1719" s="18">
        <v>10901.31</v>
      </c>
      <c r="T1719" s="19" t="s">
        <v>36</v>
      </c>
      <c r="U1719" s="20" t="s">
        <v>878</v>
      </c>
      <c r="V1719" s="28">
        <v>43.5</v>
      </c>
      <c r="W1719" s="22">
        <v>2</v>
      </c>
      <c r="X1719" s="23"/>
    </row>
    <row r="1720" spans="1:24" s="1" customFormat="1" ht="60.95" customHeight="1" x14ac:dyDescent="0.3">
      <c r="A1720" s="24" t="s">
        <v>23</v>
      </c>
      <c r="B1720" s="24" t="s">
        <v>1993</v>
      </c>
      <c r="C1720" s="12" t="s">
        <v>1994</v>
      </c>
      <c r="D1720" s="60"/>
      <c r="E1720" s="39" t="str">
        <f>HYPERLINK("https://www.google.ru/search?q=6008992-002&amp;newwindow=1&amp;tbm=isch","Еще фото")</f>
        <v>Еще фото</v>
      </c>
      <c r="F1720" s="13"/>
      <c r="G1720" s="24" t="s">
        <v>808</v>
      </c>
      <c r="H1720" s="24" t="s">
        <v>593</v>
      </c>
      <c r="I1720" s="24" t="s">
        <v>1833</v>
      </c>
      <c r="J1720" s="14" t="s">
        <v>47</v>
      </c>
      <c r="K1720" s="15" t="s">
        <v>578</v>
      </c>
      <c r="L1720" s="58"/>
      <c r="M1720" s="14"/>
      <c r="N1720" s="14" t="s">
        <v>33</v>
      </c>
      <c r="O1720" s="14"/>
      <c r="P1720" s="15" t="s">
        <v>919</v>
      </c>
      <c r="Q1720" s="16">
        <v>15799</v>
      </c>
      <c r="R1720" s="17">
        <v>40</v>
      </c>
      <c r="S1720" s="18">
        <v>10901.31</v>
      </c>
      <c r="T1720" s="19" t="s">
        <v>36</v>
      </c>
      <c r="U1720" s="20" t="s">
        <v>879</v>
      </c>
      <c r="V1720" s="22">
        <v>44</v>
      </c>
      <c r="W1720" s="22">
        <v>3</v>
      </c>
      <c r="X1720" s="23"/>
    </row>
    <row r="1721" spans="1:24" s="1" customFormat="1" ht="51.95" customHeight="1" x14ac:dyDescent="0.3">
      <c r="A1721" s="11" t="s">
        <v>23</v>
      </c>
      <c r="B1721" s="11" t="s">
        <v>1993</v>
      </c>
      <c r="C1721" s="12" t="s">
        <v>1996</v>
      </c>
      <c r="D1721" s="59"/>
      <c r="E1721" s="39" t="str">
        <f>HYPERLINK("https://www.google.ru/search?q=6008992-338&amp;newwindow=1&amp;tbm=isch","Еще фото")</f>
        <v>Еще фото</v>
      </c>
      <c r="F1721" s="13"/>
      <c r="G1721" s="11" t="s">
        <v>808</v>
      </c>
      <c r="H1721" s="11" t="s">
        <v>593</v>
      </c>
      <c r="I1721" s="14" t="s">
        <v>1833</v>
      </c>
      <c r="J1721" s="14" t="s">
        <v>47</v>
      </c>
      <c r="K1721" s="15" t="s">
        <v>578</v>
      </c>
      <c r="L1721" s="56" t="s">
        <v>1995</v>
      </c>
      <c r="M1721" s="14"/>
      <c r="N1721" s="14" t="s">
        <v>125</v>
      </c>
      <c r="O1721" s="14"/>
      <c r="P1721" s="15" t="s">
        <v>919</v>
      </c>
      <c r="Q1721" s="16">
        <v>15799</v>
      </c>
      <c r="R1721" s="17">
        <v>40</v>
      </c>
      <c r="S1721" s="18">
        <v>10901.31</v>
      </c>
      <c r="T1721" s="19" t="s">
        <v>36</v>
      </c>
      <c r="U1721" s="20" t="s">
        <v>878</v>
      </c>
      <c r="V1721" s="28">
        <v>43.5</v>
      </c>
      <c r="W1721" s="22">
        <v>1</v>
      </c>
      <c r="X1721" s="23"/>
    </row>
    <row r="1722" spans="1:24" s="1" customFormat="1" ht="60.95" customHeight="1" x14ac:dyDescent="0.3">
      <c r="A1722" s="24" t="s">
        <v>23</v>
      </c>
      <c r="B1722" s="24" t="s">
        <v>1993</v>
      </c>
      <c r="C1722" s="12" t="s">
        <v>1996</v>
      </c>
      <c r="D1722" s="60"/>
      <c r="E1722" s="39" t="str">
        <f>HYPERLINK("https://www.google.ru/search?q=6008992-338&amp;newwindow=1&amp;tbm=isch","Еще фото")</f>
        <v>Еще фото</v>
      </c>
      <c r="F1722" s="13"/>
      <c r="G1722" s="24" t="s">
        <v>808</v>
      </c>
      <c r="H1722" s="24" t="s">
        <v>593</v>
      </c>
      <c r="I1722" s="24" t="s">
        <v>1833</v>
      </c>
      <c r="J1722" s="14" t="s">
        <v>47</v>
      </c>
      <c r="K1722" s="15" t="s">
        <v>578</v>
      </c>
      <c r="L1722" s="58"/>
      <c r="M1722" s="14"/>
      <c r="N1722" s="14" t="s">
        <v>125</v>
      </c>
      <c r="O1722" s="14"/>
      <c r="P1722" s="15" t="s">
        <v>919</v>
      </c>
      <c r="Q1722" s="16">
        <v>15799</v>
      </c>
      <c r="R1722" s="17">
        <v>40</v>
      </c>
      <c r="S1722" s="18">
        <v>10901.31</v>
      </c>
      <c r="T1722" s="19" t="s">
        <v>36</v>
      </c>
      <c r="U1722" s="20" t="s">
        <v>879</v>
      </c>
      <c r="V1722" s="22">
        <v>44</v>
      </c>
      <c r="W1722" s="22">
        <v>2</v>
      </c>
      <c r="X1722" s="23"/>
    </row>
    <row r="1723" spans="1:24" s="1" customFormat="1" ht="108" customHeight="1" x14ac:dyDescent="0.3">
      <c r="A1723" s="11" t="s">
        <v>23</v>
      </c>
      <c r="B1723" s="11" t="s">
        <v>1997</v>
      </c>
      <c r="C1723" s="12" t="s">
        <v>1998</v>
      </c>
      <c r="D1723" s="25"/>
      <c r="E1723" s="39" t="str">
        <f>HYPERLINK("https://www.google.ru/search?q=6008993-002&amp;newwindow=1&amp;tbm=isch","Еще фото")</f>
        <v>Еще фото</v>
      </c>
      <c r="F1723" s="13"/>
      <c r="G1723" s="11" t="s">
        <v>808</v>
      </c>
      <c r="H1723" s="11" t="s">
        <v>593</v>
      </c>
      <c r="I1723" s="14" t="s">
        <v>1833</v>
      </c>
      <c r="J1723" s="14" t="s">
        <v>47</v>
      </c>
      <c r="K1723" s="15" t="s">
        <v>54</v>
      </c>
      <c r="L1723" s="14" t="s">
        <v>1999</v>
      </c>
      <c r="M1723" s="14"/>
      <c r="N1723" s="14" t="s">
        <v>166</v>
      </c>
      <c r="O1723" s="14"/>
      <c r="P1723" s="15" t="s">
        <v>919</v>
      </c>
      <c r="Q1723" s="16">
        <v>17499</v>
      </c>
      <c r="R1723" s="17">
        <v>40</v>
      </c>
      <c r="S1723" s="18">
        <v>12074.31</v>
      </c>
      <c r="T1723" s="19" t="s">
        <v>36</v>
      </c>
      <c r="U1723" s="20" t="s">
        <v>863</v>
      </c>
      <c r="V1723" s="28">
        <v>36.5</v>
      </c>
      <c r="W1723" s="22">
        <v>2</v>
      </c>
      <c r="X1723" s="23"/>
    </row>
    <row r="1724" spans="1:24" s="1" customFormat="1" ht="51.95" customHeight="1" x14ac:dyDescent="0.3">
      <c r="A1724" s="11" t="s">
        <v>23</v>
      </c>
      <c r="B1724" s="11" t="s">
        <v>2000</v>
      </c>
      <c r="C1724" s="12" t="s">
        <v>2001</v>
      </c>
      <c r="D1724" s="59"/>
      <c r="E1724" s="39" t="str">
        <f>HYPERLINK("https://www.google.ru/search?q=6011293-280&amp;newwindow=1&amp;tbm=isch","Еще фото")</f>
        <v>Еще фото</v>
      </c>
      <c r="F1724" s="13"/>
      <c r="G1724" s="11" t="s">
        <v>808</v>
      </c>
      <c r="H1724" s="11" t="s">
        <v>593</v>
      </c>
      <c r="I1724" s="14" t="s">
        <v>1833</v>
      </c>
      <c r="J1724" s="14" t="s">
        <v>47</v>
      </c>
      <c r="K1724" s="15" t="s">
        <v>30</v>
      </c>
      <c r="L1724" s="56" t="s">
        <v>2002</v>
      </c>
      <c r="M1724" s="14"/>
      <c r="N1724" s="14" t="s">
        <v>215</v>
      </c>
      <c r="O1724" s="14"/>
      <c r="P1724" s="15" t="s">
        <v>1601</v>
      </c>
      <c r="Q1724" s="16">
        <v>11899</v>
      </c>
      <c r="R1724" s="17">
        <v>40</v>
      </c>
      <c r="S1724" s="18">
        <v>8210.31</v>
      </c>
      <c r="T1724" s="19" t="s">
        <v>36</v>
      </c>
      <c r="U1724" s="20" t="s">
        <v>600</v>
      </c>
      <c r="V1724" s="22">
        <v>40</v>
      </c>
      <c r="W1724" s="22">
        <v>1</v>
      </c>
      <c r="X1724" s="23"/>
    </row>
    <row r="1725" spans="1:24" s="1" customFormat="1" ht="60.95" customHeight="1" x14ac:dyDescent="0.3">
      <c r="A1725" s="24" t="s">
        <v>23</v>
      </c>
      <c r="B1725" s="24" t="s">
        <v>2000</v>
      </c>
      <c r="C1725" s="12" t="s">
        <v>2001</v>
      </c>
      <c r="D1725" s="60"/>
      <c r="E1725" s="39" t="str">
        <f>HYPERLINK("https://www.google.ru/search?q=6011293-280&amp;newwindow=1&amp;tbm=isch","Еще фото")</f>
        <v>Еще фото</v>
      </c>
      <c r="F1725" s="13"/>
      <c r="G1725" s="24" t="s">
        <v>808</v>
      </c>
      <c r="H1725" s="24" t="s">
        <v>593</v>
      </c>
      <c r="I1725" s="24" t="s">
        <v>1833</v>
      </c>
      <c r="J1725" s="14" t="s">
        <v>47</v>
      </c>
      <c r="K1725" s="15" t="s">
        <v>30</v>
      </c>
      <c r="L1725" s="58"/>
      <c r="M1725" s="14"/>
      <c r="N1725" s="14" t="s">
        <v>215</v>
      </c>
      <c r="O1725" s="14"/>
      <c r="P1725" s="15" t="s">
        <v>1601</v>
      </c>
      <c r="Q1725" s="16">
        <v>11899</v>
      </c>
      <c r="R1725" s="17">
        <v>40</v>
      </c>
      <c r="S1725" s="18">
        <v>8210.31</v>
      </c>
      <c r="T1725" s="19" t="s">
        <v>36</v>
      </c>
      <c r="U1725" s="20" t="s">
        <v>601</v>
      </c>
      <c r="V1725" s="22">
        <v>41</v>
      </c>
      <c r="W1725" s="22">
        <v>2</v>
      </c>
      <c r="X1725" s="23"/>
    </row>
    <row r="1726" spans="1:24" s="1" customFormat="1" ht="21" customHeight="1" x14ac:dyDescent="0.3">
      <c r="A1726" s="11" t="s">
        <v>23</v>
      </c>
      <c r="B1726" s="11" t="s">
        <v>2000</v>
      </c>
      <c r="C1726" s="26" t="s">
        <v>2003</v>
      </c>
      <c r="D1726" s="53"/>
      <c r="E1726" s="39" t="str">
        <f>HYPERLINK("https://www.google.ru/search?q=6011293-338&amp;newwindow=1&amp;tbm=isch","Еще фото")</f>
        <v>Еще фото</v>
      </c>
      <c r="F1726" s="13"/>
      <c r="G1726" s="11" t="s">
        <v>808</v>
      </c>
      <c r="H1726" s="11" t="s">
        <v>593</v>
      </c>
      <c r="I1726" s="14" t="s">
        <v>1833</v>
      </c>
      <c r="J1726" s="14" t="s">
        <v>47</v>
      </c>
      <c r="K1726" s="15" t="s">
        <v>30</v>
      </c>
      <c r="L1726" s="56" t="s">
        <v>2002</v>
      </c>
      <c r="M1726" s="14"/>
      <c r="N1726" s="14" t="s">
        <v>2004</v>
      </c>
      <c r="O1726" s="14"/>
      <c r="P1726" s="15" t="s">
        <v>1601</v>
      </c>
      <c r="Q1726" s="16">
        <v>11899</v>
      </c>
      <c r="R1726" s="17">
        <v>40</v>
      </c>
      <c r="S1726" s="18">
        <v>8210.31</v>
      </c>
      <c r="T1726" s="19" t="s">
        <v>36</v>
      </c>
      <c r="U1726" s="20" t="s">
        <v>599</v>
      </c>
      <c r="V1726" s="28">
        <v>39.5</v>
      </c>
      <c r="W1726" s="22">
        <v>1</v>
      </c>
      <c r="X1726" s="23"/>
    </row>
    <row r="1727" spans="1:24" s="1" customFormat="1" ht="21" customHeight="1" x14ac:dyDescent="0.3">
      <c r="A1727" s="24" t="s">
        <v>23</v>
      </c>
      <c r="B1727" s="24" t="s">
        <v>2000</v>
      </c>
      <c r="C1727" s="27" t="s">
        <v>2003</v>
      </c>
      <c r="D1727" s="54"/>
      <c r="E1727" s="39" t="str">
        <f>HYPERLINK("https://www.google.ru/search?q=6011293-338&amp;newwindow=1&amp;tbm=isch","Еще фото")</f>
        <v>Еще фото</v>
      </c>
      <c r="F1727" s="13"/>
      <c r="G1727" s="24" t="s">
        <v>808</v>
      </c>
      <c r="H1727" s="24" t="s">
        <v>593</v>
      </c>
      <c r="I1727" s="24" t="s">
        <v>1833</v>
      </c>
      <c r="J1727" s="14" t="s">
        <v>47</v>
      </c>
      <c r="K1727" s="15" t="s">
        <v>30</v>
      </c>
      <c r="L1727" s="57"/>
      <c r="M1727" s="14"/>
      <c r="N1727" s="14" t="s">
        <v>2004</v>
      </c>
      <c r="O1727" s="14"/>
      <c r="P1727" s="15" t="s">
        <v>1601</v>
      </c>
      <c r="Q1727" s="16">
        <v>11899</v>
      </c>
      <c r="R1727" s="17">
        <v>40</v>
      </c>
      <c r="S1727" s="18">
        <v>8210.31</v>
      </c>
      <c r="T1727" s="19" t="s">
        <v>36</v>
      </c>
      <c r="U1727" s="20" t="s">
        <v>601</v>
      </c>
      <c r="V1727" s="22">
        <v>41</v>
      </c>
      <c r="W1727" s="22">
        <v>1</v>
      </c>
      <c r="X1727" s="23"/>
    </row>
    <row r="1728" spans="1:24" s="1" customFormat="1" ht="21" customHeight="1" x14ac:dyDescent="0.3">
      <c r="A1728" s="24" t="s">
        <v>23</v>
      </c>
      <c r="B1728" s="24" t="s">
        <v>2000</v>
      </c>
      <c r="C1728" s="27" t="s">
        <v>2003</v>
      </c>
      <c r="D1728" s="54"/>
      <c r="E1728" s="39" t="str">
        <f>HYPERLINK("https://www.google.ru/search?q=6011293-338&amp;newwindow=1&amp;tbm=isch","Еще фото")</f>
        <v>Еще фото</v>
      </c>
      <c r="F1728" s="13"/>
      <c r="G1728" s="24" t="s">
        <v>808</v>
      </c>
      <c r="H1728" s="24" t="s">
        <v>593</v>
      </c>
      <c r="I1728" s="24" t="s">
        <v>1833</v>
      </c>
      <c r="J1728" s="14" t="s">
        <v>47</v>
      </c>
      <c r="K1728" s="15" t="s">
        <v>30</v>
      </c>
      <c r="L1728" s="57"/>
      <c r="M1728" s="14"/>
      <c r="N1728" s="14" t="s">
        <v>2004</v>
      </c>
      <c r="O1728" s="14"/>
      <c r="P1728" s="15" t="s">
        <v>1601</v>
      </c>
      <c r="Q1728" s="16">
        <v>11899</v>
      </c>
      <c r="R1728" s="17">
        <v>40</v>
      </c>
      <c r="S1728" s="18">
        <v>8210.31</v>
      </c>
      <c r="T1728" s="19" t="s">
        <v>36</v>
      </c>
      <c r="U1728" s="20" t="s">
        <v>602</v>
      </c>
      <c r="V1728" s="28">
        <v>41.5</v>
      </c>
      <c r="W1728" s="22">
        <v>2</v>
      </c>
      <c r="X1728" s="23"/>
    </row>
    <row r="1729" spans="1:24" s="1" customFormat="1" ht="21" customHeight="1" x14ac:dyDescent="0.3">
      <c r="A1729" s="24" t="s">
        <v>23</v>
      </c>
      <c r="B1729" s="24" t="s">
        <v>2000</v>
      </c>
      <c r="C1729" s="27" t="s">
        <v>2003</v>
      </c>
      <c r="D1729" s="54"/>
      <c r="E1729" s="39" t="str">
        <f>HYPERLINK("https://www.google.ru/search?q=6011293-338&amp;newwindow=1&amp;tbm=isch","Еще фото")</f>
        <v>Еще фото</v>
      </c>
      <c r="F1729" s="13"/>
      <c r="G1729" s="24" t="s">
        <v>808</v>
      </c>
      <c r="H1729" s="24" t="s">
        <v>593</v>
      </c>
      <c r="I1729" s="24" t="s">
        <v>1833</v>
      </c>
      <c r="J1729" s="14" t="s">
        <v>47</v>
      </c>
      <c r="K1729" s="15" t="s">
        <v>30</v>
      </c>
      <c r="L1729" s="57"/>
      <c r="M1729" s="14"/>
      <c r="N1729" s="14" t="s">
        <v>2004</v>
      </c>
      <c r="O1729" s="14"/>
      <c r="P1729" s="15" t="s">
        <v>1601</v>
      </c>
      <c r="Q1729" s="16">
        <v>11899</v>
      </c>
      <c r="R1729" s="17">
        <v>40</v>
      </c>
      <c r="S1729" s="18">
        <v>8210.31</v>
      </c>
      <c r="T1729" s="19" t="s">
        <v>36</v>
      </c>
      <c r="U1729" s="20" t="s">
        <v>605</v>
      </c>
      <c r="V1729" s="28">
        <v>43.5</v>
      </c>
      <c r="W1729" s="22">
        <v>5</v>
      </c>
      <c r="X1729" s="23"/>
    </row>
    <row r="1730" spans="1:24" s="1" customFormat="1" ht="32.1" customHeight="1" x14ac:dyDescent="0.3">
      <c r="A1730" s="24" t="s">
        <v>23</v>
      </c>
      <c r="B1730" s="24" t="s">
        <v>2000</v>
      </c>
      <c r="C1730" s="27" t="s">
        <v>2003</v>
      </c>
      <c r="D1730" s="55"/>
      <c r="E1730" s="39" t="str">
        <f>HYPERLINK("https://www.google.ru/search?q=6011293-338&amp;newwindow=1&amp;tbm=isch","Еще фото")</f>
        <v>Еще фото</v>
      </c>
      <c r="F1730" s="13"/>
      <c r="G1730" s="24" t="s">
        <v>808</v>
      </c>
      <c r="H1730" s="24" t="s">
        <v>593</v>
      </c>
      <c r="I1730" s="24" t="s">
        <v>1833</v>
      </c>
      <c r="J1730" s="14" t="s">
        <v>47</v>
      </c>
      <c r="K1730" s="15" t="s">
        <v>30</v>
      </c>
      <c r="L1730" s="58"/>
      <c r="M1730" s="14"/>
      <c r="N1730" s="14" t="s">
        <v>2004</v>
      </c>
      <c r="O1730" s="14"/>
      <c r="P1730" s="15" t="s">
        <v>1601</v>
      </c>
      <c r="Q1730" s="16">
        <v>11899</v>
      </c>
      <c r="R1730" s="17">
        <v>40</v>
      </c>
      <c r="S1730" s="18">
        <v>8210.31</v>
      </c>
      <c r="T1730" s="19" t="s">
        <v>36</v>
      </c>
      <c r="U1730" s="20" t="s">
        <v>606</v>
      </c>
      <c r="V1730" s="22">
        <v>44</v>
      </c>
      <c r="W1730" s="22">
        <v>7</v>
      </c>
      <c r="X1730" s="23"/>
    </row>
    <row r="1731" spans="1:24" s="1" customFormat="1" ht="51.95" customHeight="1" x14ac:dyDescent="0.3">
      <c r="A1731" s="11" t="s">
        <v>23</v>
      </c>
      <c r="B1731" s="11" t="s">
        <v>2005</v>
      </c>
      <c r="C1731" s="12" t="s">
        <v>2006</v>
      </c>
      <c r="D1731" s="59"/>
      <c r="E1731" s="39" t="str">
        <f>HYPERLINK("https://www.google.ru/search?q=1368010-600&amp;newwindow=1&amp;tbm=isch","Еще фото")</f>
        <v>Еще фото</v>
      </c>
      <c r="F1731" s="13"/>
      <c r="G1731" s="11" t="s">
        <v>2007</v>
      </c>
      <c r="H1731" s="11" t="s">
        <v>576</v>
      </c>
      <c r="I1731" s="14" t="s">
        <v>2008</v>
      </c>
      <c r="J1731" s="14" t="s">
        <v>29</v>
      </c>
      <c r="K1731" s="15" t="s">
        <v>578</v>
      </c>
      <c r="L1731" s="56" t="s">
        <v>2009</v>
      </c>
      <c r="M1731" s="14" t="s">
        <v>619</v>
      </c>
      <c r="N1731" s="14" t="s">
        <v>140</v>
      </c>
      <c r="O1731" s="14" t="s">
        <v>34</v>
      </c>
      <c r="P1731" s="15" t="s">
        <v>2010</v>
      </c>
      <c r="Q1731" s="16">
        <v>2799</v>
      </c>
      <c r="R1731" s="17">
        <v>63.64</v>
      </c>
      <c r="S1731" s="18">
        <v>1170.4354999999998</v>
      </c>
      <c r="T1731" s="19" t="s">
        <v>36</v>
      </c>
      <c r="U1731" s="20" t="s">
        <v>2011</v>
      </c>
      <c r="V1731" s="21" t="s">
        <v>2011</v>
      </c>
      <c r="W1731" s="22">
        <v>10</v>
      </c>
      <c r="X1731" s="23"/>
    </row>
    <row r="1732" spans="1:24" s="1" customFormat="1" ht="60.95" customHeight="1" x14ac:dyDescent="0.3">
      <c r="A1732" s="24" t="s">
        <v>23</v>
      </c>
      <c r="B1732" s="24" t="s">
        <v>2005</v>
      </c>
      <c r="C1732" s="12" t="s">
        <v>2006</v>
      </c>
      <c r="D1732" s="60"/>
      <c r="E1732" s="39" t="str">
        <f>HYPERLINK("https://www.google.ru/search?q=1368010-600&amp;newwindow=1&amp;tbm=isch","Еще фото")</f>
        <v>Еще фото</v>
      </c>
      <c r="F1732" s="13"/>
      <c r="G1732" s="24" t="s">
        <v>2007</v>
      </c>
      <c r="H1732" s="24" t="s">
        <v>576</v>
      </c>
      <c r="I1732" s="24" t="s">
        <v>2008</v>
      </c>
      <c r="J1732" s="14" t="s">
        <v>29</v>
      </c>
      <c r="K1732" s="15" t="s">
        <v>578</v>
      </c>
      <c r="L1732" s="58"/>
      <c r="M1732" s="14" t="s">
        <v>619</v>
      </c>
      <c r="N1732" s="14" t="s">
        <v>140</v>
      </c>
      <c r="O1732" s="14" t="s">
        <v>34</v>
      </c>
      <c r="P1732" s="15" t="s">
        <v>2010</v>
      </c>
      <c r="Q1732" s="16">
        <v>2799</v>
      </c>
      <c r="R1732" s="17">
        <v>63.64</v>
      </c>
      <c r="S1732" s="18">
        <v>1170.4354999999998</v>
      </c>
      <c r="T1732" s="19" t="s">
        <v>36</v>
      </c>
      <c r="U1732" s="20" t="s">
        <v>588</v>
      </c>
      <c r="V1732" s="21" t="s">
        <v>588</v>
      </c>
      <c r="W1732" s="22">
        <v>2</v>
      </c>
      <c r="X1732" s="23"/>
    </row>
    <row r="1733" spans="1:24" s="1" customFormat="1" ht="21" customHeight="1" x14ac:dyDescent="0.3">
      <c r="A1733" s="11" t="s">
        <v>23</v>
      </c>
      <c r="B1733" s="11" t="s">
        <v>2012</v>
      </c>
      <c r="C1733" s="26" t="s">
        <v>2013</v>
      </c>
      <c r="D1733" s="53"/>
      <c r="E1733" s="39" t="str">
        <f>HYPERLINK("https://www.google.ru/search?q=1368010-585&amp;newwindow=1&amp;tbm=isch","Еще фото")</f>
        <v>Еще фото</v>
      </c>
      <c r="F1733" s="13"/>
      <c r="G1733" s="11" t="s">
        <v>2007</v>
      </c>
      <c r="H1733" s="11" t="s">
        <v>576</v>
      </c>
      <c r="I1733" s="14" t="s">
        <v>2008</v>
      </c>
      <c r="J1733" s="14" t="s">
        <v>29</v>
      </c>
      <c r="K1733" s="15" t="s">
        <v>578</v>
      </c>
      <c r="L1733" s="56" t="s">
        <v>2009</v>
      </c>
      <c r="M1733" s="14" t="s">
        <v>619</v>
      </c>
      <c r="N1733" s="14" t="s">
        <v>84</v>
      </c>
      <c r="O1733" s="14" t="s">
        <v>34</v>
      </c>
      <c r="P1733" s="15" t="s">
        <v>2010</v>
      </c>
      <c r="Q1733" s="16">
        <v>2799</v>
      </c>
      <c r="R1733" s="17">
        <v>52.21</v>
      </c>
      <c r="S1733" s="18">
        <v>1538.4354999999998</v>
      </c>
      <c r="T1733" s="19" t="s">
        <v>36</v>
      </c>
      <c r="U1733" s="20" t="s">
        <v>2011</v>
      </c>
      <c r="V1733" s="21" t="s">
        <v>2011</v>
      </c>
      <c r="W1733" s="22">
        <v>5</v>
      </c>
      <c r="X1733" s="23"/>
    </row>
    <row r="1734" spans="1:24" s="1" customFormat="1" ht="21" customHeight="1" x14ac:dyDescent="0.3">
      <c r="A1734" s="24" t="s">
        <v>23</v>
      </c>
      <c r="B1734" s="24" t="s">
        <v>2012</v>
      </c>
      <c r="C1734" s="27" t="s">
        <v>2013</v>
      </c>
      <c r="D1734" s="54"/>
      <c r="E1734" s="39" t="str">
        <f>HYPERLINK("https://www.google.ru/search?q=1368010-585&amp;newwindow=1&amp;tbm=isch","Еще фото")</f>
        <v>Еще фото</v>
      </c>
      <c r="F1734" s="13"/>
      <c r="G1734" s="24" t="s">
        <v>2007</v>
      </c>
      <c r="H1734" s="24" t="s">
        <v>576</v>
      </c>
      <c r="I1734" s="24" t="s">
        <v>2008</v>
      </c>
      <c r="J1734" s="14" t="s">
        <v>29</v>
      </c>
      <c r="K1734" s="15" t="s">
        <v>578</v>
      </c>
      <c r="L1734" s="57"/>
      <c r="M1734" s="14" t="s">
        <v>619</v>
      </c>
      <c r="N1734" s="14" t="s">
        <v>84</v>
      </c>
      <c r="O1734" s="14" t="s">
        <v>34</v>
      </c>
      <c r="P1734" s="15" t="s">
        <v>2010</v>
      </c>
      <c r="Q1734" s="16">
        <v>2799</v>
      </c>
      <c r="R1734" s="17">
        <v>52.21</v>
      </c>
      <c r="S1734" s="18">
        <v>1538.4354999999998</v>
      </c>
      <c r="T1734" s="19" t="s">
        <v>36</v>
      </c>
      <c r="U1734" s="20" t="s">
        <v>588</v>
      </c>
      <c r="V1734" s="21" t="s">
        <v>588</v>
      </c>
      <c r="W1734" s="22">
        <v>7</v>
      </c>
      <c r="X1734" s="23"/>
    </row>
    <row r="1735" spans="1:24" s="1" customFormat="1" ht="21" customHeight="1" x14ac:dyDescent="0.3">
      <c r="A1735" s="24" t="s">
        <v>23</v>
      </c>
      <c r="B1735" s="24" t="s">
        <v>2012</v>
      </c>
      <c r="C1735" s="27" t="s">
        <v>2013</v>
      </c>
      <c r="D1735" s="54"/>
      <c r="E1735" s="39" t="str">
        <f>HYPERLINK("https://www.google.ru/search?q=1368010-585&amp;newwindow=1&amp;tbm=isch","Еще фото")</f>
        <v>Еще фото</v>
      </c>
      <c r="F1735" s="13"/>
      <c r="G1735" s="24" t="s">
        <v>2007</v>
      </c>
      <c r="H1735" s="24" t="s">
        <v>576</v>
      </c>
      <c r="I1735" s="24" t="s">
        <v>2008</v>
      </c>
      <c r="J1735" s="14" t="s">
        <v>29</v>
      </c>
      <c r="K1735" s="15" t="s">
        <v>578</v>
      </c>
      <c r="L1735" s="57"/>
      <c r="M1735" s="14" t="s">
        <v>619</v>
      </c>
      <c r="N1735" s="14" t="s">
        <v>84</v>
      </c>
      <c r="O1735" s="14" t="s">
        <v>34</v>
      </c>
      <c r="P1735" s="15" t="s">
        <v>2010</v>
      </c>
      <c r="Q1735" s="16">
        <v>2799</v>
      </c>
      <c r="R1735" s="17">
        <v>52.21</v>
      </c>
      <c r="S1735" s="18">
        <v>1538.4354999999998</v>
      </c>
      <c r="T1735" s="19" t="s">
        <v>36</v>
      </c>
      <c r="U1735" s="20" t="s">
        <v>587</v>
      </c>
      <c r="V1735" s="21" t="s">
        <v>587</v>
      </c>
      <c r="W1735" s="22">
        <v>8</v>
      </c>
      <c r="X1735" s="23"/>
    </row>
    <row r="1736" spans="1:24" s="1" customFormat="1" ht="21" customHeight="1" x14ac:dyDescent="0.3">
      <c r="A1736" s="24" t="s">
        <v>23</v>
      </c>
      <c r="B1736" s="24" t="s">
        <v>2012</v>
      </c>
      <c r="C1736" s="27" t="s">
        <v>2013</v>
      </c>
      <c r="D1736" s="54"/>
      <c r="E1736" s="39" t="str">
        <f>HYPERLINK("https://www.google.ru/search?q=1368010-585&amp;newwindow=1&amp;tbm=isch","Еще фото")</f>
        <v>Еще фото</v>
      </c>
      <c r="F1736" s="13"/>
      <c r="G1736" s="24" t="s">
        <v>2007</v>
      </c>
      <c r="H1736" s="24" t="s">
        <v>576</v>
      </c>
      <c r="I1736" s="24" t="s">
        <v>2008</v>
      </c>
      <c r="J1736" s="14" t="s">
        <v>29</v>
      </c>
      <c r="K1736" s="15" t="s">
        <v>578</v>
      </c>
      <c r="L1736" s="57"/>
      <c r="M1736" s="14" t="s">
        <v>619</v>
      </c>
      <c r="N1736" s="14" t="s">
        <v>84</v>
      </c>
      <c r="O1736" s="14" t="s">
        <v>34</v>
      </c>
      <c r="P1736" s="15" t="s">
        <v>2010</v>
      </c>
      <c r="Q1736" s="16">
        <v>2799</v>
      </c>
      <c r="R1736" s="17">
        <v>52.21</v>
      </c>
      <c r="S1736" s="18">
        <v>1538.4354999999998</v>
      </c>
      <c r="T1736" s="19" t="s">
        <v>36</v>
      </c>
      <c r="U1736" s="20" t="s">
        <v>1817</v>
      </c>
      <c r="V1736" s="21" t="s">
        <v>1817</v>
      </c>
      <c r="W1736" s="22">
        <v>5</v>
      </c>
      <c r="X1736" s="23"/>
    </row>
    <row r="1737" spans="1:24" s="1" customFormat="1" ht="32.1" customHeight="1" x14ac:dyDescent="0.3">
      <c r="A1737" s="24" t="s">
        <v>23</v>
      </c>
      <c r="B1737" s="24" t="s">
        <v>2012</v>
      </c>
      <c r="C1737" s="27" t="s">
        <v>2013</v>
      </c>
      <c r="D1737" s="55"/>
      <c r="E1737" s="39" t="str">
        <f>HYPERLINK("https://www.google.ru/search?q=1368010-585&amp;newwindow=1&amp;tbm=isch","Еще фото")</f>
        <v>Еще фото</v>
      </c>
      <c r="F1737" s="13"/>
      <c r="G1737" s="24" t="s">
        <v>2007</v>
      </c>
      <c r="H1737" s="24" t="s">
        <v>576</v>
      </c>
      <c r="I1737" s="24" t="s">
        <v>2008</v>
      </c>
      <c r="J1737" s="14" t="s">
        <v>29</v>
      </c>
      <c r="K1737" s="15" t="s">
        <v>578</v>
      </c>
      <c r="L1737" s="58"/>
      <c r="M1737" s="14" t="s">
        <v>619</v>
      </c>
      <c r="N1737" s="14" t="s">
        <v>84</v>
      </c>
      <c r="O1737" s="14" t="s">
        <v>34</v>
      </c>
      <c r="P1737" s="15" t="s">
        <v>2010</v>
      </c>
      <c r="Q1737" s="16">
        <v>2799</v>
      </c>
      <c r="R1737" s="17">
        <v>52.21</v>
      </c>
      <c r="S1737" s="18">
        <v>1538.4354999999998</v>
      </c>
      <c r="T1737" s="19" t="s">
        <v>36</v>
      </c>
      <c r="U1737" s="20" t="s">
        <v>2014</v>
      </c>
      <c r="V1737" s="21" t="s">
        <v>2014</v>
      </c>
      <c r="W1737" s="22">
        <v>2</v>
      </c>
      <c r="X1737" s="23"/>
    </row>
    <row r="1738" spans="1:24" s="1" customFormat="1" ht="51.95" customHeight="1" x14ac:dyDescent="0.3">
      <c r="A1738" s="11" t="s">
        <v>23</v>
      </c>
      <c r="B1738" s="11" t="s">
        <v>2015</v>
      </c>
      <c r="C1738" s="12" t="s">
        <v>2016</v>
      </c>
      <c r="D1738" s="59"/>
      <c r="E1738" s="39" t="str">
        <f>HYPERLINK("https://www.google.ru/search?q=1368451-410&amp;newwindow=1&amp;tbm=isch","Еще фото")</f>
        <v>Еще фото</v>
      </c>
      <c r="F1738" s="13"/>
      <c r="G1738" s="11" t="s">
        <v>2017</v>
      </c>
      <c r="H1738" s="11" t="s">
        <v>576</v>
      </c>
      <c r="I1738" s="14" t="s">
        <v>2008</v>
      </c>
      <c r="J1738" s="14" t="s">
        <v>47</v>
      </c>
      <c r="K1738" s="15" t="s">
        <v>578</v>
      </c>
      <c r="L1738" s="56"/>
      <c r="M1738" s="14"/>
      <c r="N1738" s="14" t="s">
        <v>91</v>
      </c>
      <c r="O1738" s="14"/>
      <c r="P1738" s="15" t="s">
        <v>2018</v>
      </c>
      <c r="Q1738" s="16">
        <v>4190</v>
      </c>
      <c r="R1738" s="17">
        <v>46.83</v>
      </c>
      <c r="S1738" s="18">
        <v>2561.9354999999996</v>
      </c>
      <c r="T1738" s="19" t="s">
        <v>36</v>
      </c>
      <c r="U1738" s="20" t="s">
        <v>2011</v>
      </c>
      <c r="V1738" s="21" t="s">
        <v>2011</v>
      </c>
      <c r="W1738" s="22">
        <v>2</v>
      </c>
      <c r="X1738" s="23"/>
    </row>
    <row r="1739" spans="1:24" s="1" customFormat="1" ht="60.95" customHeight="1" x14ac:dyDescent="0.3">
      <c r="A1739" s="24" t="s">
        <v>23</v>
      </c>
      <c r="B1739" s="24" t="s">
        <v>2015</v>
      </c>
      <c r="C1739" s="12" t="s">
        <v>2016</v>
      </c>
      <c r="D1739" s="60"/>
      <c r="E1739" s="39" t="str">
        <f>HYPERLINK("https://www.google.ru/search?q=1368451-410&amp;newwindow=1&amp;tbm=isch","Еще фото")</f>
        <v>Еще фото</v>
      </c>
      <c r="F1739" s="13"/>
      <c r="G1739" s="24" t="s">
        <v>2017</v>
      </c>
      <c r="H1739" s="24" t="s">
        <v>576</v>
      </c>
      <c r="I1739" s="24" t="s">
        <v>2008</v>
      </c>
      <c r="J1739" s="14" t="s">
        <v>47</v>
      </c>
      <c r="K1739" s="15" t="s">
        <v>578</v>
      </c>
      <c r="L1739" s="58"/>
      <c r="M1739" s="14"/>
      <c r="N1739" s="14" t="s">
        <v>91</v>
      </c>
      <c r="O1739" s="14"/>
      <c r="P1739" s="15" t="s">
        <v>2018</v>
      </c>
      <c r="Q1739" s="16">
        <v>4190</v>
      </c>
      <c r="R1739" s="17">
        <v>46.83</v>
      </c>
      <c r="S1739" s="18">
        <v>2561.9354999999996</v>
      </c>
      <c r="T1739" s="19" t="s">
        <v>36</v>
      </c>
      <c r="U1739" s="20" t="s">
        <v>588</v>
      </c>
      <c r="V1739" s="21" t="s">
        <v>588</v>
      </c>
      <c r="W1739" s="22">
        <v>5</v>
      </c>
      <c r="X1739" s="23"/>
    </row>
    <row r="1740" spans="1:24" s="1" customFormat="1" ht="108" customHeight="1" x14ac:dyDescent="0.3">
      <c r="A1740" s="11" t="s">
        <v>23</v>
      </c>
      <c r="B1740" s="11" t="s">
        <v>2019</v>
      </c>
      <c r="C1740" s="12" t="s">
        <v>2020</v>
      </c>
      <c r="D1740" s="25"/>
      <c r="E1740" s="39" t="str">
        <f>HYPERLINK("https://www.google.ru/search?q=1276991-001&amp;newwindow=1&amp;tbm=isch","Еще фото")</f>
        <v>Еще фото</v>
      </c>
      <c r="F1740" s="13"/>
      <c r="G1740" s="11" t="s">
        <v>2021</v>
      </c>
      <c r="H1740" s="11" t="s">
        <v>576</v>
      </c>
      <c r="I1740" s="14" t="s">
        <v>2008</v>
      </c>
      <c r="J1740" s="14" t="s">
        <v>29</v>
      </c>
      <c r="K1740" s="15" t="s">
        <v>30</v>
      </c>
      <c r="L1740" s="14" t="s">
        <v>2022</v>
      </c>
      <c r="M1740" s="14" t="s">
        <v>49</v>
      </c>
      <c r="N1740" s="14" t="s">
        <v>33</v>
      </c>
      <c r="O1740" s="14" t="s">
        <v>34</v>
      </c>
      <c r="P1740" s="15" t="s">
        <v>2023</v>
      </c>
      <c r="Q1740" s="16">
        <v>1099</v>
      </c>
      <c r="R1740" s="17">
        <v>40</v>
      </c>
      <c r="S1740" s="33">
        <v>758.31</v>
      </c>
      <c r="T1740" s="19" t="s">
        <v>580</v>
      </c>
      <c r="U1740" s="20" t="s">
        <v>2024</v>
      </c>
      <c r="V1740" s="21" t="s">
        <v>2025</v>
      </c>
      <c r="W1740" s="22">
        <v>1</v>
      </c>
      <c r="X1740" s="23"/>
    </row>
    <row r="1741" spans="1:24" s="1" customFormat="1" ht="108" customHeight="1" x14ac:dyDescent="0.3">
      <c r="A1741" s="11" t="s">
        <v>23</v>
      </c>
      <c r="B1741" s="11" t="s">
        <v>2026</v>
      </c>
      <c r="C1741" s="12" t="s">
        <v>2027</v>
      </c>
      <c r="D1741" s="25"/>
      <c r="E1741" s="39" t="str">
        <f>HYPERLINK("https://www.google.ru/search?q=1361569-001&amp;newwindow=1&amp;tbm=isch","Еще фото")</f>
        <v>Еще фото</v>
      </c>
      <c r="F1741" s="13"/>
      <c r="G1741" s="11" t="s">
        <v>2028</v>
      </c>
      <c r="H1741" s="11" t="s">
        <v>576</v>
      </c>
      <c r="I1741" s="14" t="s">
        <v>2008</v>
      </c>
      <c r="J1741" s="14" t="s">
        <v>212</v>
      </c>
      <c r="K1741" s="15" t="s">
        <v>30</v>
      </c>
      <c r="L1741" s="14" t="s">
        <v>2029</v>
      </c>
      <c r="M1741" s="14" t="s">
        <v>49</v>
      </c>
      <c r="N1741" s="14" t="s">
        <v>33</v>
      </c>
      <c r="O1741" s="14"/>
      <c r="P1741" s="15" t="s">
        <v>2030</v>
      </c>
      <c r="Q1741" s="16">
        <v>5699</v>
      </c>
      <c r="R1741" s="17">
        <v>40</v>
      </c>
      <c r="S1741" s="18">
        <v>3932.31</v>
      </c>
      <c r="T1741" s="19" t="s">
        <v>36</v>
      </c>
      <c r="U1741" s="20" t="s">
        <v>2031</v>
      </c>
      <c r="V1741" s="21" t="s">
        <v>38</v>
      </c>
      <c r="W1741" s="22">
        <v>1</v>
      </c>
      <c r="X1741" s="23"/>
    </row>
    <row r="1742" spans="1:24" s="1" customFormat="1" ht="26.1" customHeight="1" x14ac:dyDescent="0.3">
      <c r="A1742" s="11" t="s">
        <v>23</v>
      </c>
      <c r="B1742" s="11" t="s">
        <v>2026</v>
      </c>
      <c r="C1742" s="12" t="s">
        <v>2032</v>
      </c>
      <c r="D1742" s="53"/>
      <c r="E1742" s="39" t="str">
        <f>HYPERLINK("https://www.google.ru/search?q=1361569-035&amp;newwindow=1&amp;tbm=isch","Еще фото")</f>
        <v>Еще фото</v>
      </c>
      <c r="F1742" s="34" t="s">
        <v>817</v>
      </c>
      <c r="G1742" s="11" t="s">
        <v>2028</v>
      </c>
      <c r="H1742" s="11" t="s">
        <v>576</v>
      </c>
      <c r="I1742" s="14" t="s">
        <v>2008</v>
      </c>
      <c r="J1742" s="14" t="s">
        <v>212</v>
      </c>
      <c r="K1742" s="15" t="s">
        <v>30</v>
      </c>
      <c r="L1742" s="56" t="s">
        <v>2029</v>
      </c>
      <c r="M1742" s="14" t="s">
        <v>49</v>
      </c>
      <c r="N1742" s="14" t="s">
        <v>84</v>
      </c>
      <c r="O1742" s="14"/>
      <c r="P1742" s="15" t="s">
        <v>2033</v>
      </c>
      <c r="Q1742" s="16">
        <v>5699</v>
      </c>
      <c r="R1742" s="17">
        <v>40</v>
      </c>
      <c r="S1742" s="18">
        <v>3932.31</v>
      </c>
      <c r="T1742" s="19" t="s">
        <v>36</v>
      </c>
      <c r="U1742" s="20" t="s">
        <v>2031</v>
      </c>
      <c r="V1742" s="21" t="s">
        <v>38</v>
      </c>
      <c r="W1742" s="22">
        <v>6</v>
      </c>
      <c r="X1742" s="23"/>
    </row>
    <row r="1743" spans="1:24" s="1" customFormat="1" ht="26.1" customHeight="1" x14ac:dyDescent="0.3">
      <c r="A1743" s="24" t="s">
        <v>23</v>
      </c>
      <c r="B1743" s="24" t="s">
        <v>2026</v>
      </c>
      <c r="C1743" s="12" t="s">
        <v>2032</v>
      </c>
      <c r="D1743" s="54"/>
      <c r="E1743" s="39" t="str">
        <f>HYPERLINK("https://www.google.ru/search?q=1361569-035&amp;newwindow=1&amp;tbm=isch","Еще фото")</f>
        <v>Еще фото</v>
      </c>
      <c r="F1743" s="34" t="s">
        <v>817</v>
      </c>
      <c r="G1743" s="24" t="s">
        <v>2028</v>
      </c>
      <c r="H1743" s="24" t="s">
        <v>576</v>
      </c>
      <c r="I1743" s="24" t="s">
        <v>2008</v>
      </c>
      <c r="J1743" s="14" t="s">
        <v>212</v>
      </c>
      <c r="K1743" s="15" t="s">
        <v>30</v>
      </c>
      <c r="L1743" s="57"/>
      <c r="M1743" s="14" t="s">
        <v>49</v>
      </c>
      <c r="N1743" s="14" t="s">
        <v>84</v>
      </c>
      <c r="O1743" s="14"/>
      <c r="P1743" s="15" t="s">
        <v>2033</v>
      </c>
      <c r="Q1743" s="16">
        <v>5699</v>
      </c>
      <c r="R1743" s="17">
        <v>40</v>
      </c>
      <c r="S1743" s="18">
        <v>3932.31</v>
      </c>
      <c r="T1743" s="19" t="s">
        <v>36</v>
      </c>
      <c r="U1743" s="20" t="s">
        <v>2034</v>
      </c>
      <c r="V1743" s="21" t="s">
        <v>40</v>
      </c>
      <c r="W1743" s="22">
        <v>10</v>
      </c>
      <c r="X1743" s="23"/>
    </row>
    <row r="1744" spans="1:24" s="1" customFormat="1" ht="26.1" customHeight="1" x14ac:dyDescent="0.3">
      <c r="A1744" s="24" t="s">
        <v>23</v>
      </c>
      <c r="B1744" s="24" t="s">
        <v>2026</v>
      </c>
      <c r="C1744" s="12" t="s">
        <v>2032</v>
      </c>
      <c r="D1744" s="54"/>
      <c r="E1744" s="39" t="str">
        <f>HYPERLINK("https://www.google.ru/search?q=1361569-035&amp;newwindow=1&amp;tbm=isch","Еще фото")</f>
        <v>Еще фото</v>
      </c>
      <c r="F1744" s="34" t="s">
        <v>817</v>
      </c>
      <c r="G1744" s="24" t="s">
        <v>2028</v>
      </c>
      <c r="H1744" s="24" t="s">
        <v>576</v>
      </c>
      <c r="I1744" s="24" t="s">
        <v>2008</v>
      </c>
      <c r="J1744" s="14" t="s">
        <v>212</v>
      </c>
      <c r="K1744" s="15" t="s">
        <v>30</v>
      </c>
      <c r="L1744" s="57"/>
      <c r="M1744" s="14" t="s">
        <v>49</v>
      </c>
      <c r="N1744" s="14" t="s">
        <v>84</v>
      </c>
      <c r="O1744" s="14"/>
      <c r="P1744" s="15" t="s">
        <v>2033</v>
      </c>
      <c r="Q1744" s="16">
        <v>5699</v>
      </c>
      <c r="R1744" s="17">
        <v>40</v>
      </c>
      <c r="S1744" s="18">
        <v>3932.31</v>
      </c>
      <c r="T1744" s="19" t="s">
        <v>36</v>
      </c>
      <c r="U1744" s="20" t="s">
        <v>2035</v>
      </c>
      <c r="V1744" s="22">
        <v>50</v>
      </c>
      <c r="W1744" s="22">
        <v>2</v>
      </c>
      <c r="X1744" s="23"/>
    </row>
    <row r="1745" spans="1:24" s="1" customFormat="1" ht="26.1" customHeight="1" x14ac:dyDescent="0.3">
      <c r="A1745" s="24" t="s">
        <v>23</v>
      </c>
      <c r="B1745" s="24" t="s">
        <v>2026</v>
      </c>
      <c r="C1745" s="12" t="s">
        <v>2032</v>
      </c>
      <c r="D1745" s="55"/>
      <c r="E1745" s="39" t="str">
        <f>HYPERLINK("https://www.google.ru/search?q=1361569-035&amp;newwindow=1&amp;tbm=isch","Еще фото")</f>
        <v>Еще фото</v>
      </c>
      <c r="F1745" s="34" t="s">
        <v>817</v>
      </c>
      <c r="G1745" s="24" t="s">
        <v>2028</v>
      </c>
      <c r="H1745" s="24" t="s">
        <v>576</v>
      </c>
      <c r="I1745" s="24" t="s">
        <v>2008</v>
      </c>
      <c r="J1745" s="14" t="s">
        <v>212</v>
      </c>
      <c r="K1745" s="15" t="s">
        <v>30</v>
      </c>
      <c r="L1745" s="58"/>
      <c r="M1745" s="14" t="s">
        <v>49</v>
      </c>
      <c r="N1745" s="14" t="s">
        <v>84</v>
      </c>
      <c r="O1745" s="14"/>
      <c r="P1745" s="15" t="s">
        <v>2033</v>
      </c>
      <c r="Q1745" s="16">
        <v>5699</v>
      </c>
      <c r="R1745" s="17">
        <v>40</v>
      </c>
      <c r="S1745" s="18">
        <v>3932.31</v>
      </c>
      <c r="T1745" s="19" t="s">
        <v>36</v>
      </c>
      <c r="U1745" s="20" t="s">
        <v>2036</v>
      </c>
      <c r="V1745" s="21" t="s">
        <v>42</v>
      </c>
      <c r="W1745" s="22">
        <v>2</v>
      </c>
      <c r="X1745" s="23"/>
    </row>
    <row r="1746" spans="1:24" s="1" customFormat="1" ht="108" customHeight="1" x14ac:dyDescent="0.3">
      <c r="A1746" s="11" t="s">
        <v>23</v>
      </c>
      <c r="B1746" s="11" t="s">
        <v>2037</v>
      </c>
      <c r="C1746" s="12" t="s">
        <v>2038</v>
      </c>
      <c r="D1746" s="25"/>
      <c r="E1746" s="39" t="str">
        <f>HYPERLINK("https://www.google.ru/search?q=1368010-002&amp;newwindow=1&amp;tbm=isch","Еще фото")</f>
        <v>Еще фото</v>
      </c>
      <c r="F1746" s="13"/>
      <c r="G1746" s="11" t="s">
        <v>2007</v>
      </c>
      <c r="H1746" s="11" t="s">
        <v>576</v>
      </c>
      <c r="I1746" s="14" t="s">
        <v>2008</v>
      </c>
      <c r="J1746" s="14" t="s">
        <v>29</v>
      </c>
      <c r="K1746" s="15" t="s">
        <v>578</v>
      </c>
      <c r="L1746" s="14" t="s">
        <v>2009</v>
      </c>
      <c r="M1746" s="14" t="s">
        <v>619</v>
      </c>
      <c r="N1746" s="14" t="s">
        <v>33</v>
      </c>
      <c r="O1746" s="14" t="s">
        <v>34</v>
      </c>
      <c r="P1746" s="15" t="s">
        <v>2010</v>
      </c>
      <c r="Q1746" s="16">
        <v>2799</v>
      </c>
      <c r="R1746" s="17">
        <v>40</v>
      </c>
      <c r="S1746" s="18">
        <v>1931.31</v>
      </c>
      <c r="T1746" s="19" t="s">
        <v>36</v>
      </c>
      <c r="U1746" s="20" t="s">
        <v>588</v>
      </c>
      <c r="V1746" s="21" t="s">
        <v>588</v>
      </c>
      <c r="W1746" s="22">
        <v>8</v>
      </c>
      <c r="X1746" s="23"/>
    </row>
    <row r="1747" spans="1:24" s="1" customFormat="1" ht="108" customHeight="1" x14ac:dyDescent="0.3">
      <c r="A1747" s="11" t="s">
        <v>23</v>
      </c>
      <c r="B1747" s="11" t="s">
        <v>2039</v>
      </c>
      <c r="C1747" s="12" t="s">
        <v>2040</v>
      </c>
      <c r="D1747" s="25"/>
      <c r="E1747" s="39" t="str">
        <f>HYPERLINK("https://www.google.ru/search?q=1279429-001&amp;newwindow=1&amp;tbm=isch","Еще фото")</f>
        <v>Еще фото</v>
      </c>
      <c r="F1747" s="13"/>
      <c r="G1747" s="11" t="s">
        <v>2041</v>
      </c>
      <c r="H1747" s="11" t="s">
        <v>2042</v>
      </c>
      <c r="I1747" s="14" t="s">
        <v>2043</v>
      </c>
      <c r="J1747" s="14" t="s">
        <v>506</v>
      </c>
      <c r="K1747" s="15" t="s">
        <v>30</v>
      </c>
      <c r="L1747" s="14" t="s">
        <v>2044</v>
      </c>
      <c r="M1747" s="14"/>
      <c r="N1747" s="14" t="s">
        <v>33</v>
      </c>
      <c r="O1747" s="14"/>
      <c r="P1747" s="15" t="s">
        <v>2045</v>
      </c>
      <c r="Q1747" s="16">
        <v>5790</v>
      </c>
      <c r="R1747" s="17">
        <v>40</v>
      </c>
      <c r="S1747" s="18">
        <v>3995.1</v>
      </c>
      <c r="T1747" s="19" t="s">
        <v>36</v>
      </c>
      <c r="U1747" s="20" t="s">
        <v>604</v>
      </c>
      <c r="V1747" s="22">
        <v>27</v>
      </c>
      <c r="W1747" s="22">
        <v>1</v>
      </c>
      <c r="X1747" s="23"/>
    </row>
    <row r="1748" spans="1:24" s="1" customFormat="1" ht="108" customHeight="1" x14ac:dyDescent="0.3">
      <c r="A1748" s="11" t="s">
        <v>23</v>
      </c>
      <c r="B1748" s="11" t="s">
        <v>2046</v>
      </c>
      <c r="C1748" s="12" t="s">
        <v>2047</v>
      </c>
      <c r="D1748" s="25"/>
      <c r="E1748" s="39" t="str">
        <f>HYPERLINK("https://www.google.ru/search?q=1384462-015&amp;newwindow=1&amp;tbm=isch","Еще фото")</f>
        <v>Еще фото</v>
      </c>
      <c r="F1748" s="13"/>
      <c r="G1748" s="11" t="s">
        <v>2048</v>
      </c>
      <c r="H1748" s="11" t="s">
        <v>2049</v>
      </c>
      <c r="I1748" s="14" t="s">
        <v>2050</v>
      </c>
      <c r="J1748" s="14" t="s">
        <v>29</v>
      </c>
      <c r="K1748" s="15" t="s">
        <v>578</v>
      </c>
      <c r="L1748" s="14" t="s">
        <v>2051</v>
      </c>
      <c r="M1748" s="14"/>
      <c r="N1748" s="14" t="s">
        <v>57</v>
      </c>
      <c r="O1748" s="14"/>
      <c r="P1748" s="15" t="s">
        <v>51</v>
      </c>
      <c r="Q1748" s="16">
        <v>7199</v>
      </c>
      <c r="R1748" s="17">
        <v>48.77</v>
      </c>
      <c r="S1748" s="18">
        <v>4240.9354999999996</v>
      </c>
      <c r="T1748" s="19" t="s">
        <v>580</v>
      </c>
      <c r="U1748" s="20" t="s">
        <v>581</v>
      </c>
      <c r="V1748" s="21" t="s">
        <v>2025</v>
      </c>
      <c r="W1748" s="22">
        <v>21</v>
      </c>
      <c r="X1748" s="23"/>
    </row>
    <row r="1749" spans="1:24" s="1" customFormat="1" ht="108" customHeight="1" x14ac:dyDescent="0.3">
      <c r="A1749" s="11" t="s">
        <v>23</v>
      </c>
      <c r="B1749" s="11" t="s">
        <v>2052</v>
      </c>
      <c r="C1749" s="12" t="s">
        <v>2053</v>
      </c>
      <c r="D1749" s="25"/>
      <c r="E1749" s="39" t="str">
        <f>HYPERLINK("https://www.google.ru/search?q=1382311-001&amp;newwindow=1&amp;tbm=isch","Еще фото")</f>
        <v>Еще фото</v>
      </c>
      <c r="F1749" s="13"/>
      <c r="G1749" s="11" t="s">
        <v>2048</v>
      </c>
      <c r="H1749" s="11" t="s">
        <v>2049</v>
      </c>
      <c r="I1749" s="14" t="s">
        <v>2050</v>
      </c>
      <c r="J1749" s="14" t="s">
        <v>29</v>
      </c>
      <c r="K1749" s="15" t="s">
        <v>578</v>
      </c>
      <c r="L1749" s="14" t="s">
        <v>2054</v>
      </c>
      <c r="M1749" s="14" t="s">
        <v>32</v>
      </c>
      <c r="N1749" s="14" t="s">
        <v>33</v>
      </c>
      <c r="O1749" s="14"/>
      <c r="P1749" s="15" t="s">
        <v>2055</v>
      </c>
      <c r="Q1749" s="16">
        <v>16299</v>
      </c>
      <c r="R1749" s="17">
        <v>40</v>
      </c>
      <c r="S1749" s="18">
        <v>11246.31</v>
      </c>
      <c r="T1749" s="19" t="s">
        <v>580</v>
      </c>
      <c r="U1749" s="20" t="s">
        <v>581</v>
      </c>
      <c r="V1749" s="21" t="s">
        <v>2025</v>
      </c>
      <c r="W1749" s="22">
        <v>7</v>
      </c>
      <c r="X1749" s="23"/>
    </row>
    <row r="1750" spans="1:24" s="1" customFormat="1" ht="108" customHeight="1" x14ac:dyDescent="0.3">
      <c r="A1750" s="11" t="s">
        <v>23</v>
      </c>
      <c r="B1750" s="11" t="s">
        <v>2046</v>
      </c>
      <c r="C1750" s="12" t="s">
        <v>2056</v>
      </c>
      <c r="D1750" s="25"/>
      <c r="E1750" s="39" t="str">
        <f>HYPERLINK("https://www.google.ru/search?q=1384462-390&amp;newwindow=1&amp;tbm=isch","Еще фото")</f>
        <v>Еще фото</v>
      </c>
      <c r="F1750" s="13"/>
      <c r="G1750" s="11" t="s">
        <v>2048</v>
      </c>
      <c r="H1750" s="11" t="s">
        <v>2049</v>
      </c>
      <c r="I1750" s="14" t="s">
        <v>2050</v>
      </c>
      <c r="J1750" s="14" t="s">
        <v>29</v>
      </c>
      <c r="K1750" s="15" t="s">
        <v>578</v>
      </c>
      <c r="L1750" s="14" t="s">
        <v>2057</v>
      </c>
      <c r="M1750" s="14" t="s">
        <v>32</v>
      </c>
      <c r="N1750" s="14" t="s">
        <v>125</v>
      </c>
      <c r="O1750" s="14"/>
      <c r="P1750" s="15" t="s">
        <v>51</v>
      </c>
      <c r="Q1750" s="16">
        <v>7199</v>
      </c>
      <c r="R1750" s="17">
        <v>40</v>
      </c>
      <c r="S1750" s="18">
        <v>4967.3099999999995</v>
      </c>
      <c r="T1750" s="19" t="s">
        <v>580</v>
      </c>
      <c r="U1750" s="20" t="s">
        <v>581</v>
      </c>
      <c r="V1750" s="21" t="s">
        <v>2025</v>
      </c>
      <c r="W1750" s="22">
        <v>7</v>
      </c>
      <c r="X1750" s="23"/>
    </row>
    <row r="1751" spans="1:24" s="1" customFormat="1" ht="108" customHeight="1" x14ac:dyDescent="0.3">
      <c r="A1751" s="11" t="s">
        <v>23</v>
      </c>
      <c r="B1751" s="11" t="s">
        <v>2058</v>
      </c>
      <c r="C1751" s="12" t="s">
        <v>2059</v>
      </c>
      <c r="D1751" s="25"/>
      <c r="E1751" s="39" t="str">
        <f>HYPERLINK("https://www.google.ru/search?q=1384672-477&amp;newwindow=1&amp;tbm=isch","Еще фото")</f>
        <v>Еще фото</v>
      </c>
      <c r="F1751" s="13"/>
      <c r="G1751" s="11" t="s">
        <v>2048</v>
      </c>
      <c r="H1751" s="11" t="s">
        <v>2049</v>
      </c>
      <c r="I1751" s="14" t="s">
        <v>2050</v>
      </c>
      <c r="J1751" s="14" t="s">
        <v>29</v>
      </c>
      <c r="K1751" s="15" t="s">
        <v>578</v>
      </c>
      <c r="L1751" s="14" t="s">
        <v>2060</v>
      </c>
      <c r="M1751" s="14"/>
      <c r="N1751" s="14" t="s">
        <v>50</v>
      </c>
      <c r="O1751" s="14"/>
      <c r="P1751" s="15" t="s">
        <v>51</v>
      </c>
      <c r="Q1751" s="16">
        <v>6099</v>
      </c>
      <c r="R1751" s="17">
        <v>40</v>
      </c>
      <c r="S1751" s="18">
        <v>4208.3099999999995</v>
      </c>
      <c r="T1751" s="19" t="s">
        <v>580</v>
      </c>
      <c r="U1751" s="20" t="s">
        <v>581</v>
      </c>
      <c r="V1751" s="21" t="s">
        <v>2025</v>
      </c>
      <c r="W1751" s="22">
        <v>1</v>
      </c>
      <c r="X1751" s="23"/>
    </row>
    <row r="1752" spans="1:24" s="1" customFormat="1" ht="108" customHeight="1" x14ac:dyDescent="0.3">
      <c r="A1752" s="11" t="s">
        <v>23</v>
      </c>
      <c r="B1752" s="11" t="s">
        <v>2061</v>
      </c>
      <c r="C1752" s="12" t="s">
        <v>2062</v>
      </c>
      <c r="D1752" s="25"/>
      <c r="E1752" s="39" t="str">
        <f>HYPERLINK("https://www.google.ru/search?q=1384675-001&amp;newwindow=1&amp;tbm=isch","Еще фото")</f>
        <v>Еще фото</v>
      </c>
      <c r="F1752" s="13" t="s">
        <v>98</v>
      </c>
      <c r="G1752" s="11" t="s">
        <v>2048</v>
      </c>
      <c r="H1752" s="11" t="s">
        <v>2049</v>
      </c>
      <c r="I1752" s="14" t="s">
        <v>2050</v>
      </c>
      <c r="J1752" s="14" t="s">
        <v>29</v>
      </c>
      <c r="K1752" s="15" t="s">
        <v>64</v>
      </c>
      <c r="L1752" s="14" t="s">
        <v>2063</v>
      </c>
      <c r="M1752" s="14"/>
      <c r="N1752" s="14" t="s">
        <v>33</v>
      </c>
      <c r="O1752" s="14"/>
      <c r="P1752" s="15" t="s">
        <v>133</v>
      </c>
      <c r="Q1752" s="16">
        <v>7999</v>
      </c>
      <c r="R1752" s="17">
        <v>40</v>
      </c>
      <c r="S1752" s="18">
        <v>5519.3099999999995</v>
      </c>
      <c r="T1752" s="19" t="s">
        <v>580</v>
      </c>
      <c r="U1752" s="20" t="s">
        <v>581</v>
      </c>
      <c r="V1752" s="21" t="s">
        <v>2025</v>
      </c>
      <c r="W1752" s="22">
        <v>49</v>
      </c>
      <c r="X1752" s="23"/>
    </row>
    <row r="1753" spans="1:24" s="1" customFormat="1" ht="108" customHeight="1" x14ac:dyDescent="0.3">
      <c r="A1753" s="11" t="s">
        <v>23</v>
      </c>
      <c r="B1753" s="11" t="s">
        <v>2064</v>
      </c>
      <c r="C1753" s="12" t="s">
        <v>2065</v>
      </c>
      <c r="D1753" s="25"/>
      <c r="E1753" s="39" t="str">
        <f>HYPERLINK("https://www.google.ru/search?q=6000397-425&amp;newwindow=1&amp;tbm=isch","Еще фото")</f>
        <v>Еще фото</v>
      </c>
      <c r="F1753" s="13"/>
      <c r="G1753" s="11" t="s">
        <v>2048</v>
      </c>
      <c r="H1753" s="11" t="s">
        <v>2049</v>
      </c>
      <c r="I1753" s="14" t="s">
        <v>2050</v>
      </c>
      <c r="J1753" s="14" t="s">
        <v>29</v>
      </c>
      <c r="K1753" s="15" t="s">
        <v>578</v>
      </c>
      <c r="L1753" s="14" t="s">
        <v>2066</v>
      </c>
      <c r="M1753" s="14"/>
      <c r="N1753" s="14" t="s">
        <v>50</v>
      </c>
      <c r="O1753" s="14"/>
      <c r="P1753" s="15" t="s">
        <v>51</v>
      </c>
      <c r="Q1753" s="16">
        <v>4799</v>
      </c>
      <c r="R1753" s="17">
        <v>40</v>
      </c>
      <c r="S1753" s="18">
        <v>3311.31</v>
      </c>
      <c r="T1753" s="19" t="s">
        <v>580</v>
      </c>
      <c r="U1753" s="20" t="s">
        <v>581</v>
      </c>
      <c r="V1753" s="21" t="s">
        <v>2025</v>
      </c>
      <c r="W1753" s="22">
        <v>1</v>
      </c>
      <c r="X1753" s="23"/>
    </row>
    <row r="1754" spans="1:24" s="1" customFormat="1" ht="35.1" customHeight="1" x14ac:dyDescent="0.3">
      <c r="A1754" s="11" t="s">
        <v>23</v>
      </c>
      <c r="B1754" s="11" t="s">
        <v>2067</v>
      </c>
      <c r="C1754" s="12" t="s">
        <v>2068</v>
      </c>
      <c r="D1754" s="53"/>
      <c r="E1754" s="39" t="str">
        <f>HYPERLINK("https://www.google.ru/search?q=3028095-348&amp;newwindow=1&amp;tbm=isch","Еще фото")</f>
        <v>Еще фото</v>
      </c>
      <c r="F1754" s="13"/>
      <c r="G1754" s="11" t="s">
        <v>2069</v>
      </c>
      <c r="H1754" s="11" t="s">
        <v>593</v>
      </c>
      <c r="I1754" s="14" t="s">
        <v>2070</v>
      </c>
      <c r="J1754" s="14" t="s">
        <v>47</v>
      </c>
      <c r="K1754" s="15" t="s">
        <v>64</v>
      </c>
      <c r="L1754" s="56" t="s">
        <v>2071</v>
      </c>
      <c r="M1754" s="14"/>
      <c r="N1754" s="14" t="s">
        <v>125</v>
      </c>
      <c r="O1754" s="14"/>
      <c r="P1754" s="15" t="s">
        <v>2072</v>
      </c>
      <c r="Q1754" s="16">
        <v>4299</v>
      </c>
      <c r="R1754" s="17">
        <v>64</v>
      </c>
      <c r="S1754" s="18">
        <v>1779.9354999999998</v>
      </c>
      <c r="T1754" s="19" t="s">
        <v>36</v>
      </c>
      <c r="U1754" s="20" t="s">
        <v>598</v>
      </c>
      <c r="V1754" s="22">
        <v>37</v>
      </c>
      <c r="W1754" s="22">
        <v>14</v>
      </c>
      <c r="X1754" s="23"/>
    </row>
    <row r="1755" spans="1:24" s="1" customFormat="1" ht="35.1" customHeight="1" x14ac:dyDescent="0.3">
      <c r="A1755" s="24" t="s">
        <v>23</v>
      </c>
      <c r="B1755" s="24" t="s">
        <v>2067</v>
      </c>
      <c r="C1755" s="12" t="s">
        <v>2068</v>
      </c>
      <c r="D1755" s="54"/>
      <c r="E1755" s="39" t="str">
        <f>HYPERLINK("https://www.google.ru/search?q=3028095-348&amp;newwindow=1&amp;tbm=isch","Еще фото")</f>
        <v>Еще фото</v>
      </c>
      <c r="F1755" s="13"/>
      <c r="G1755" s="24" t="s">
        <v>2069</v>
      </c>
      <c r="H1755" s="24" t="s">
        <v>593</v>
      </c>
      <c r="I1755" s="24" t="s">
        <v>2070</v>
      </c>
      <c r="J1755" s="14" t="s">
        <v>47</v>
      </c>
      <c r="K1755" s="15" t="s">
        <v>64</v>
      </c>
      <c r="L1755" s="57"/>
      <c r="M1755" s="14"/>
      <c r="N1755" s="14" t="s">
        <v>125</v>
      </c>
      <c r="O1755" s="14"/>
      <c r="P1755" s="15" t="s">
        <v>2072</v>
      </c>
      <c r="Q1755" s="16">
        <v>4299</v>
      </c>
      <c r="R1755" s="17">
        <v>64</v>
      </c>
      <c r="S1755" s="18">
        <v>1779.9354999999998</v>
      </c>
      <c r="T1755" s="19" t="s">
        <v>36</v>
      </c>
      <c r="U1755" s="20" t="s">
        <v>600</v>
      </c>
      <c r="V1755" s="22">
        <v>38</v>
      </c>
      <c r="W1755" s="22">
        <v>9</v>
      </c>
      <c r="X1755" s="23"/>
    </row>
    <row r="1756" spans="1:24" s="1" customFormat="1" ht="36.950000000000003" customHeight="1" x14ac:dyDescent="0.3">
      <c r="A1756" s="24" t="s">
        <v>23</v>
      </c>
      <c r="B1756" s="24" t="s">
        <v>2067</v>
      </c>
      <c r="C1756" s="12" t="s">
        <v>2068</v>
      </c>
      <c r="D1756" s="55"/>
      <c r="E1756" s="39" t="str">
        <f>HYPERLINK("https://www.google.ru/search?q=3028095-348&amp;newwindow=1&amp;tbm=isch","Еще фото")</f>
        <v>Еще фото</v>
      </c>
      <c r="F1756" s="13"/>
      <c r="G1756" s="24" t="s">
        <v>2069</v>
      </c>
      <c r="H1756" s="24" t="s">
        <v>593</v>
      </c>
      <c r="I1756" s="24" t="s">
        <v>2070</v>
      </c>
      <c r="J1756" s="14" t="s">
        <v>47</v>
      </c>
      <c r="K1756" s="15" t="s">
        <v>64</v>
      </c>
      <c r="L1756" s="58"/>
      <c r="M1756" s="14"/>
      <c r="N1756" s="14" t="s">
        <v>125</v>
      </c>
      <c r="O1756" s="14"/>
      <c r="P1756" s="15" t="s">
        <v>2072</v>
      </c>
      <c r="Q1756" s="16">
        <v>4299</v>
      </c>
      <c r="R1756" s="17">
        <v>64</v>
      </c>
      <c r="S1756" s="18">
        <v>1779.9354999999998</v>
      </c>
      <c r="T1756" s="19" t="s">
        <v>36</v>
      </c>
      <c r="U1756" s="20" t="s">
        <v>602</v>
      </c>
      <c r="V1756" s="28">
        <v>39.5</v>
      </c>
      <c r="W1756" s="22">
        <v>1</v>
      </c>
      <c r="X1756" s="23"/>
    </row>
    <row r="1757" spans="1:24" s="1" customFormat="1" ht="108" customHeight="1" x14ac:dyDescent="0.3">
      <c r="A1757" s="11" t="s">
        <v>23</v>
      </c>
      <c r="B1757" s="11" t="s">
        <v>2073</v>
      </c>
      <c r="C1757" s="12" t="s">
        <v>2074</v>
      </c>
      <c r="D1757" s="25"/>
      <c r="E1757" s="39" t="str">
        <f>HYPERLINK("https://www.google.ru/search?q=6010383-100&amp;newwindow=1&amp;tbm=isch","Еще фото")</f>
        <v>Еще фото</v>
      </c>
      <c r="F1757" s="13"/>
      <c r="G1757" s="11" t="s">
        <v>2069</v>
      </c>
      <c r="H1757" s="11" t="s">
        <v>593</v>
      </c>
      <c r="I1757" s="14" t="s">
        <v>2070</v>
      </c>
      <c r="J1757" s="14" t="s">
        <v>47</v>
      </c>
      <c r="K1757" s="15" t="s">
        <v>30</v>
      </c>
      <c r="L1757" s="14" t="s">
        <v>2075</v>
      </c>
      <c r="M1757" s="14"/>
      <c r="N1757" s="14" t="s">
        <v>74</v>
      </c>
      <c r="O1757" s="14"/>
      <c r="P1757" s="15" t="s">
        <v>2076</v>
      </c>
      <c r="Q1757" s="16">
        <v>4899</v>
      </c>
      <c r="R1757" s="17">
        <v>46.93</v>
      </c>
      <c r="S1757" s="18">
        <v>2989.9884999999995</v>
      </c>
      <c r="T1757" s="19" t="s">
        <v>36</v>
      </c>
      <c r="U1757" s="20" t="s">
        <v>598</v>
      </c>
      <c r="V1757" s="22">
        <v>39</v>
      </c>
      <c r="W1757" s="22">
        <v>1</v>
      </c>
      <c r="X1757" s="23"/>
    </row>
    <row r="1758" spans="1:24" s="1" customFormat="1" ht="51.95" customHeight="1" x14ac:dyDescent="0.3">
      <c r="A1758" s="11" t="s">
        <v>23</v>
      </c>
      <c r="B1758" s="11" t="s">
        <v>2077</v>
      </c>
      <c r="C1758" s="12" t="s">
        <v>2078</v>
      </c>
      <c r="D1758" s="59"/>
      <c r="E1758" s="39" t="str">
        <f>HYPERLINK("https://www.google.ru/search?q=3028732-001&amp;newwindow=1&amp;tbm=isch","Еще фото")</f>
        <v>Еще фото</v>
      </c>
      <c r="F1758" s="13"/>
      <c r="G1758" s="11" t="s">
        <v>2069</v>
      </c>
      <c r="H1758" s="11" t="s">
        <v>593</v>
      </c>
      <c r="I1758" s="14" t="s">
        <v>2070</v>
      </c>
      <c r="J1758" s="14" t="s">
        <v>47</v>
      </c>
      <c r="K1758" s="15" t="s">
        <v>54</v>
      </c>
      <c r="L1758" s="56" t="s">
        <v>2079</v>
      </c>
      <c r="M1758" s="14"/>
      <c r="N1758" s="14" t="s">
        <v>33</v>
      </c>
      <c r="O1758" s="14"/>
      <c r="P1758" s="15" t="s">
        <v>2080</v>
      </c>
      <c r="Q1758" s="16">
        <v>3099</v>
      </c>
      <c r="R1758" s="17">
        <v>46</v>
      </c>
      <c r="S1758" s="18">
        <v>1924.4789999999998</v>
      </c>
      <c r="T1758" s="19" t="s">
        <v>36</v>
      </c>
      <c r="U1758" s="20" t="s">
        <v>863</v>
      </c>
      <c r="V1758" s="28">
        <v>36.5</v>
      </c>
      <c r="W1758" s="22">
        <v>11</v>
      </c>
      <c r="X1758" s="23"/>
    </row>
    <row r="1759" spans="1:24" s="1" customFormat="1" ht="60.95" customHeight="1" x14ac:dyDescent="0.3">
      <c r="A1759" s="24" t="s">
        <v>23</v>
      </c>
      <c r="B1759" s="24" t="s">
        <v>2077</v>
      </c>
      <c r="C1759" s="12" t="s">
        <v>2078</v>
      </c>
      <c r="D1759" s="60"/>
      <c r="E1759" s="39" t="str">
        <f>HYPERLINK("https://www.google.ru/search?q=3028732-001&amp;newwindow=1&amp;tbm=isch","Еще фото")</f>
        <v>Еще фото</v>
      </c>
      <c r="F1759" s="13"/>
      <c r="G1759" s="24" t="s">
        <v>2069</v>
      </c>
      <c r="H1759" s="24" t="s">
        <v>593</v>
      </c>
      <c r="I1759" s="24" t="s">
        <v>2070</v>
      </c>
      <c r="J1759" s="14" t="s">
        <v>47</v>
      </c>
      <c r="K1759" s="15" t="s">
        <v>54</v>
      </c>
      <c r="L1759" s="58"/>
      <c r="M1759" s="14"/>
      <c r="N1759" s="14" t="s">
        <v>33</v>
      </c>
      <c r="O1759" s="14"/>
      <c r="P1759" s="15" t="s">
        <v>2080</v>
      </c>
      <c r="Q1759" s="16">
        <v>3099</v>
      </c>
      <c r="R1759" s="17">
        <v>46</v>
      </c>
      <c r="S1759" s="18">
        <v>1924.4789999999998</v>
      </c>
      <c r="T1759" s="19" t="s">
        <v>36</v>
      </c>
      <c r="U1759" s="20" t="s">
        <v>820</v>
      </c>
      <c r="V1759" s="28">
        <v>37.5</v>
      </c>
      <c r="W1759" s="22">
        <v>12</v>
      </c>
      <c r="X1759" s="23"/>
    </row>
    <row r="1760" spans="1:24" s="1" customFormat="1" ht="35.1" customHeight="1" x14ac:dyDescent="0.3">
      <c r="A1760" s="11" t="s">
        <v>23</v>
      </c>
      <c r="B1760" s="11" t="s">
        <v>2081</v>
      </c>
      <c r="C1760" s="12" t="s">
        <v>2082</v>
      </c>
      <c r="D1760" s="53"/>
      <c r="E1760" s="39" t="str">
        <f>HYPERLINK("https://www.google.ru/search?q=6007536-001&amp;newwindow=1&amp;tbm=isch","Еще фото")</f>
        <v>Еще фото</v>
      </c>
      <c r="F1760" s="13"/>
      <c r="G1760" s="11" t="s">
        <v>2069</v>
      </c>
      <c r="H1760" s="11" t="s">
        <v>593</v>
      </c>
      <c r="I1760" s="14" t="s">
        <v>2070</v>
      </c>
      <c r="J1760" s="14" t="s">
        <v>47</v>
      </c>
      <c r="K1760" s="15" t="s">
        <v>54</v>
      </c>
      <c r="L1760" s="56"/>
      <c r="M1760" s="14"/>
      <c r="N1760" s="14" t="s">
        <v>33</v>
      </c>
      <c r="O1760" s="14"/>
      <c r="P1760" s="15" t="s">
        <v>2083</v>
      </c>
      <c r="Q1760" s="16">
        <v>5899</v>
      </c>
      <c r="R1760" s="17">
        <v>46</v>
      </c>
      <c r="S1760" s="18">
        <v>3663.2789999999995</v>
      </c>
      <c r="T1760" s="19" t="s">
        <v>36</v>
      </c>
      <c r="U1760" s="20" t="s">
        <v>2084</v>
      </c>
      <c r="V1760" s="28">
        <v>35.5</v>
      </c>
      <c r="W1760" s="22">
        <v>6</v>
      </c>
      <c r="X1760" s="23"/>
    </row>
    <row r="1761" spans="1:24" s="1" customFormat="1" ht="35.1" customHeight="1" x14ac:dyDescent="0.3">
      <c r="A1761" s="24" t="s">
        <v>23</v>
      </c>
      <c r="B1761" s="24" t="s">
        <v>2081</v>
      </c>
      <c r="C1761" s="12" t="s">
        <v>2082</v>
      </c>
      <c r="D1761" s="54"/>
      <c r="E1761" s="39" t="str">
        <f>HYPERLINK("https://www.google.ru/search?q=6007536-001&amp;newwindow=1&amp;tbm=isch","Еще фото")</f>
        <v>Еще фото</v>
      </c>
      <c r="F1761" s="13"/>
      <c r="G1761" s="24" t="s">
        <v>2069</v>
      </c>
      <c r="H1761" s="24" t="s">
        <v>593</v>
      </c>
      <c r="I1761" s="24" t="s">
        <v>2070</v>
      </c>
      <c r="J1761" s="14" t="s">
        <v>47</v>
      </c>
      <c r="K1761" s="15" t="s">
        <v>54</v>
      </c>
      <c r="L1761" s="57"/>
      <c r="M1761" s="14"/>
      <c r="N1761" s="14" t="s">
        <v>33</v>
      </c>
      <c r="O1761" s="14"/>
      <c r="P1761" s="15" t="s">
        <v>2083</v>
      </c>
      <c r="Q1761" s="16">
        <v>5899</v>
      </c>
      <c r="R1761" s="17">
        <v>46</v>
      </c>
      <c r="S1761" s="18">
        <v>3663.2789999999995</v>
      </c>
      <c r="T1761" s="19" t="s">
        <v>36</v>
      </c>
      <c r="U1761" s="20" t="s">
        <v>863</v>
      </c>
      <c r="V1761" s="28">
        <v>36.5</v>
      </c>
      <c r="W1761" s="22">
        <v>19</v>
      </c>
      <c r="X1761" s="23"/>
    </row>
    <row r="1762" spans="1:24" s="1" customFormat="1" ht="36.950000000000003" customHeight="1" x14ac:dyDescent="0.3">
      <c r="A1762" s="24" t="s">
        <v>23</v>
      </c>
      <c r="B1762" s="24" t="s">
        <v>2081</v>
      </c>
      <c r="C1762" s="12" t="s">
        <v>2082</v>
      </c>
      <c r="D1762" s="55"/>
      <c r="E1762" s="39" t="str">
        <f>HYPERLINK("https://www.google.ru/search?q=6007536-001&amp;newwindow=1&amp;tbm=isch","Еще фото")</f>
        <v>Еще фото</v>
      </c>
      <c r="F1762" s="13"/>
      <c r="G1762" s="24" t="s">
        <v>2069</v>
      </c>
      <c r="H1762" s="24" t="s">
        <v>593</v>
      </c>
      <c r="I1762" s="24" t="s">
        <v>2070</v>
      </c>
      <c r="J1762" s="14" t="s">
        <v>47</v>
      </c>
      <c r="K1762" s="15" t="s">
        <v>54</v>
      </c>
      <c r="L1762" s="58"/>
      <c r="M1762" s="14"/>
      <c r="N1762" s="14" t="s">
        <v>33</v>
      </c>
      <c r="O1762" s="14"/>
      <c r="P1762" s="15" t="s">
        <v>2083</v>
      </c>
      <c r="Q1762" s="16">
        <v>5899</v>
      </c>
      <c r="R1762" s="17">
        <v>46</v>
      </c>
      <c r="S1762" s="18">
        <v>3663.2789999999995</v>
      </c>
      <c r="T1762" s="19" t="s">
        <v>36</v>
      </c>
      <c r="U1762" s="20" t="s">
        <v>820</v>
      </c>
      <c r="V1762" s="28">
        <v>37.5</v>
      </c>
      <c r="W1762" s="22">
        <v>19</v>
      </c>
      <c r="X1762" s="23"/>
    </row>
    <row r="1763" spans="1:24" s="1" customFormat="1" ht="35.1" customHeight="1" x14ac:dyDescent="0.3">
      <c r="A1763" s="11" t="s">
        <v>23</v>
      </c>
      <c r="B1763" s="11" t="s">
        <v>2081</v>
      </c>
      <c r="C1763" s="12" t="s">
        <v>2085</v>
      </c>
      <c r="D1763" s="53"/>
      <c r="E1763" s="39" t="str">
        <f>HYPERLINK("https://www.google.ru/search?q=6007536-400&amp;newwindow=1&amp;tbm=isch","Еще фото")</f>
        <v>Еще фото</v>
      </c>
      <c r="F1763" s="13"/>
      <c r="G1763" s="11" t="s">
        <v>2069</v>
      </c>
      <c r="H1763" s="11" t="s">
        <v>593</v>
      </c>
      <c r="I1763" s="14" t="s">
        <v>2070</v>
      </c>
      <c r="J1763" s="14" t="s">
        <v>47</v>
      </c>
      <c r="K1763" s="15" t="s">
        <v>54</v>
      </c>
      <c r="L1763" s="56"/>
      <c r="M1763" s="14"/>
      <c r="N1763" s="14" t="s">
        <v>2086</v>
      </c>
      <c r="O1763" s="14"/>
      <c r="P1763" s="15" t="s">
        <v>2083</v>
      </c>
      <c r="Q1763" s="16">
        <v>5899</v>
      </c>
      <c r="R1763" s="17">
        <v>46</v>
      </c>
      <c r="S1763" s="18">
        <v>3663.2789999999995</v>
      </c>
      <c r="T1763" s="19" t="s">
        <v>36</v>
      </c>
      <c r="U1763" s="20" t="s">
        <v>2084</v>
      </c>
      <c r="V1763" s="28">
        <v>35.5</v>
      </c>
      <c r="W1763" s="22">
        <v>7</v>
      </c>
      <c r="X1763" s="23"/>
    </row>
    <row r="1764" spans="1:24" s="1" customFormat="1" ht="35.1" customHeight="1" x14ac:dyDescent="0.3">
      <c r="A1764" s="24" t="s">
        <v>23</v>
      </c>
      <c r="B1764" s="24" t="s">
        <v>2081</v>
      </c>
      <c r="C1764" s="12" t="s">
        <v>2085</v>
      </c>
      <c r="D1764" s="54"/>
      <c r="E1764" s="39" t="str">
        <f>HYPERLINK("https://www.google.ru/search?q=6007536-400&amp;newwindow=1&amp;tbm=isch","Еще фото")</f>
        <v>Еще фото</v>
      </c>
      <c r="F1764" s="13"/>
      <c r="G1764" s="24" t="s">
        <v>2069</v>
      </c>
      <c r="H1764" s="24" t="s">
        <v>593</v>
      </c>
      <c r="I1764" s="24" t="s">
        <v>2070</v>
      </c>
      <c r="J1764" s="14" t="s">
        <v>47</v>
      </c>
      <c r="K1764" s="15" t="s">
        <v>54</v>
      </c>
      <c r="L1764" s="57"/>
      <c r="M1764" s="14"/>
      <c r="N1764" s="14" t="s">
        <v>2086</v>
      </c>
      <c r="O1764" s="14"/>
      <c r="P1764" s="15" t="s">
        <v>2083</v>
      </c>
      <c r="Q1764" s="16">
        <v>5899</v>
      </c>
      <c r="R1764" s="17">
        <v>46</v>
      </c>
      <c r="S1764" s="18">
        <v>3663.2789999999995</v>
      </c>
      <c r="T1764" s="19" t="s">
        <v>36</v>
      </c>
      <c r="U1764" s="20" t="s">
        <v>863</v>
      </c>
      <c r="V1764" s="28">
        <v>36.5</v>
      </c>
      <c r="W1764" s="22">
        <v>13</v>
      </c>
      <c r="X1764" s="23"/>
    </row>
    <row r="1765" spans="1:24" s="1" customFormat="1" ht="36.950000000000003" customHeight="1" x14ac:dyDescent="0.3">
      <c r="A1765" s="24" t="s">
        <v>23</v>
      </c>
      <c r="B1765" s="24" t="s">
        <v>2081</v>
      </c>
      <c r="C1765" s="12" t="s">
        <v>2085</v>
      </c>
      <c r="D1765" s="55"/>
      <c r="E1765" s="39" t="str">
        <f>HYPERLINK("https://www.google.ru/search?q=6007536-400&amp;newwindow=1&amp;tbm=isch","Еще фото")</f>
        <v>Еще фото</v>
      </c>
      <c r="F1765" s="13"/>
      <c r="G1765" s="24" t="s">
        <v>2069</v>
      </c>
      <c r="H1765" s="24" t="s">
        <v>593</v>
      </c>
      <c r="I1765" s="24" t="s">
        <v>2070</v>
      </c>
      <c r="J1765" s="14" t="s">
        <v>47</v>
      </c>
      <c r="K1765" s="15" t="s">
        <v>54</v>
      </c>
      <c r="L1765" s="58"/>
      <c r="M1765" s="14"/>
      <c r="N1765" s="14" t="s">
        <v>2086</v>
      </c>
      <c r="O1765" s="14"/>
      <c r="P1765" s="15" t="s">
        <v>2083</v>
      </c>
      <c r="Q1765" s="16">
        <v>5899</v>
      </c>
      <c r="R1765" s="17">
        <v>46</v>
      </c>
      <c r="S1765" s="18">
        <v>3663.2789999999995</v>
      </c>
      <c r="T1765" s="19" t="s">
        <v>36</v>
      </c>
      <c r="U1765" s="20" t="s">
        <v>820</v>
      </c>
      <c r="V1765" s="28">
        <v>37.5</v>
      </c>
      <c r="W1765" s="22">
        <v>18</v>
      </c>
      <c r="X1765" s="23"/>
    </row>
    <row r="1766" spans="1:24" s="1" customFormat="1" ht="35.1" customHeight="1" x14ac:dyDescent="0.3">
      <c r="A1766" s="11" t="s">
        <v>23</v>
      </c>
      <c r="B1766" s="11" t="s">
        <v>2087</v>
      </c>
      <c r="C1766" s="12" t="s">
        <v>2088</v>
      </c>
      <c r="D1766" s="53"/>
      <c r="E1766" s="39" t="str">
        <f>HYPERLINK("https://www.google.ru/search?q=6007537-001&amp;newwindow=1&amp;tbm=isch","Еще фото")</f>
        <v>Еще фото</v>
      </c>
      <c r="F1766" s="13"/>
      <c r="G1766" s="11" t="s">
        <v>2069</v>
      </c>
      <c r="H1766" s="11" t="s">
        <v>593</v>
      </c>
      <c r="I1766" s="14" t="s">
        <v>2070</v>
      </c>
      <c r="J1766" s="14" t="s">
        <v>47</v>
      </c>
      <c r="K1766" s="15" t="s">
        <v>54</v>
      </c>
      <c r="L1766" s="56"/>
      <c r="M1766" s="14"/>
      <c r="N1766" s="14" t="s">
        <v>33</v>
      </c>
      <c r="O1766" s="14"/>
      <c r="P1766" s="15" t="s">
        <v>2083</v>
      </c>
      <c r="Q1766" s="16">
        <v>3099</v>
      </c>
      <c r="R1766" s="17">
        <v>46</v>
      </c>
      <c r="S1766" s="18">
        <v>1924.4789999999998</v>
      </c>
      <c r="T1766" s="19" t="s">
        <v>36</v>
      </c>
      <c r="U1766" s="20" t="s">
        <v>2084</v>
      </c>
      <c r="V1766" s="28">
        <v>35.5</v>
      </c>
      <c r="W1766" s="22">
        <v>2</v>
      </c>
      <c r="X1766" s="23"/>
    </row>
    <row r="1767" spans="1:24" s="1" customFormat="1" ht="35.1" customHeight="1" x14ac:dyDescent="0.3">
      <c r="A1767" s="24" t="s">
        <v>23</v>
      </c>
      <c r="B1767" s="24" t="s">
        <v>2087</v>
      </c>
      <c r="C1767" s="12" t="s">
        <v>2088</v>
      </c>
      <c r="D1767" s="54"/>
      <c r="E1767" s="39" t="str">
        <f>HYPERLINK("https://www.google.ru/search?q=6007537-001&amp;newwindow=1&amp;tbm=isch","Еще фото")</f>
        <v>Еще фото</v>
      </c>
      <c r="F1767" s="13"/>
      <c r="G1767" s="24" t="s">
        <v>2069</v>
      </c>
      <c r="H1767" s="24" t="s">
        <v>593</v>
      </c>
      <c r="I1767" s="24" t="s">
        <v>2070</v>
      </c>
      <c r="J1767" s="14" t="s">
        <v>47</v>
      </c>
      <c r="K1767" s="15" t="s">
        <v>54</v>
      </c>
      <c r="L1767" s="57"/>
      <c r="M1767" s="14"/>
      <c r="N1767" s="14" t="s">
        <v>33</v>
      </c>
      <c r="O1767" s="14"/>
      <c r="P1767" s="15" t="s">
        <v>2083</v>
      </c>
      <c r="Q1767" s="16">
        <v>3099</v>
      </c>
      <c r="R1767" s="17">
        <v>46</v>
      </c>
      <c r="S1767" s="18">
        <v>1924.4789999999998</v>
      </c>
      <c r="T1767" s="19" t="s">
        <v>36</v>
      </c>
      <c r="U1767" s="20" t="s">
        <v>863</v>
      </c>
      <c r="V1767" s="28">
        <v>36.5</v>
      </c>
      <c r="W1767" s="22">
        <v>10</v>
      </c>
      <c r="X1767" s="23"/>
    </row>
    <row r="1768" spans="1:24" s="1" customFormat="1" ht="36.950000000000003" customHeight="1" x14ac:dyDescent="0.3">
      <c r="A1768" s="24" t="s">
        <v>23</v>
      </c>
      <c r="B1768" s="24" t="s">
        <v>2087</v>
      </c>
      <c r="C1768" s="12" t="s">
        <v>2088</v>
      </c>
      <c r="D1768" s="55"/>
      <c r="E1768" s="39" t="str">
        <f>HYPERLINK("https://www.google.ru/search?q=6007537-001&amp;newwindow=1&amp;tbm=isch","Еще фото")</f>
        <v>Еще фото</v>
      </c>
      <c r="F1768" s="13"/>
      <c r="G1768" s="24" t="s">
        <v>2069</v>
      </c>
      <c r="H1768" s="24" t="s">
        <v>593</v>
      </c>
      <c r="I1768" s="24" t="s">
        <v>2070</v>
      </c>
      <c r="J1768" s="14" t="s">
        <v>47</v>
      </c>
      <c r="K1768" s="15" t="s">
        <v>54</v>
      </c>
      <c r="L1768" s="58"/>
      <c r="M1768" s="14"/>
      <c r="N1768" s="14" t="s">
        <v>33</v>
      </c>
      <c r="O1768" s="14"/>
      <c r="P1768" s="15" t="s">
        <v>2083</v>
      </c>
      <c r="Q1768" s="16">
        <v>3099</v>
      </c>
      <c r="R1768" s="17">
        <v>46</v>
      </c>
      <c r="S1768" s="18">
        <v>1924.4789999999998</v>
      </c>
      <c r="T1768" s="19" t="s">
        <v>36</v>
      </c>
      <c r="U1768" s="20" t="s">
        <v>820</v>
      </c>
      <c r="V1768" s="28">
        <v>37.5</v>
      </c>
      <c r="W1768" s="22">
        <v>15</v>
      </c>
      <c r="X1768" s="23"/>
    </row>
    <row r="1769" spans="1:24" s="1" customFormat="1" ht="35.1" customHeight="1" x14ac:dyDescent="0.3">
      <c r="A1769" s="11" t="s">
        <v>23</v>
      </c>
      <c r="B1769" s="11" t="s">
        <v>2087</v>
      </c>
      <c r="C1769" s="12" t="s">
        <v>2089</v>
      </c>
      <c r="D1769" s="53"/>
      <c r="E1769" s="39" t="str">
        <f>HYPERLINK("https://www.google.ru/search?q=6007537-024&amp;newwindow=1&amp;tbm=isch","Еще фото")</f>
        <v>Еще фото</v>
      </c>
      <c r="F1769" s="13"/>
      <c r="G1769" s="11" t="s">
        <v>2069</v>
      </c>
      <c r="H1769" s="11" t="s">
        <v>593</v>
      </c>
      <c r="I1769" s="14" t="s">
        <v>2070</v>
      </c>
      <c r="J1769" s="14" t="s">
        <v>47</v>
      </c>
      <c r="K1769" s="15" t="s">
        <v>54</v>
      </c>
      <c r="L1769" s="56"/>
      <c r="M1769" s="14"/>
      <c r="N1769" s="14" t="s">
        <v>84</v>
      </c>
      <c r="O1769" s="14"/>
      <c r="P1769" s="15" t="s">
        <v>2083</v>
      </c>
      <c r="Q1769" s="16">
        <v>3099</v>
      </c>
      <c r="R1769" s="17">
        <v>46</v>
      </c>
      <c r="S1769" s="18">
        <v>1924.4789999999998</v>
      </c>
      <c r="T1769" s="19" t="s">
        <v>36</v>
      </c>
      <c r="U1769" s="20" t="s">
        <v>2084</v>
      </c>
      <c r="V1769" s="28">
        <v>35.5</v>
      </c>
      <c r="W1769" s="22">
        <v>5</v>
      </c>
      <c r="X1769" s="23"/>
    </row>
    <row r="1770" spans="1:24" s="1" customFormat="1" ht="35.1" customHeight="1" x14ac:dyDescent="0.3">
      <c r="A1770" s="24" t="s">
        <v>23</v>
      </c>
      <c r="B1770" s="24" t="s">
        <v>2087</v>
      </c>
      <c r="C1770" s="12" t="s">
        <v>2089</v>
      </c>
      <c r="D1770" s="54"/>
      <c r="E1770" s="39" t="str">
        <f>HYPERLINK("https://www.google.ru/search?q=6007537-024&amp;newwindow=1&amp;tbm=isch","Еще фото")</f>
        <v>Еще фото</v>
      </c>
      <c r="F1770" s="13"/>
      <c r="G1770" s="24" t="s">
        <v>2069</v>
      </c>
      <c r="H1770" s="24" t="s">
        <v>593</v>
      </c>
      <c r="I1770" s="24" t="s">
        <v>2070</v>
      </c>
      <c r="J1770" s="14" t="s">
        <v>47</v>
      </c>
      <c r="K1770" s="15" t="s">
        <v>54</v>
      </c>
      <c r="L1770" s="57"/>
      <c r="M1770" s="14"/>
      <c r="N1770" s="14" t="s">
        <v>84</v>
      </c>
      <c r="O1770" s="14"/>
      <c r="P1770" s="15" t="s">
        <v>2083</v>
      </c>
      <c r="Q1770" s="16">
        <v>3099</v>
      </c>
      <c r="R1770" s="17">
        <v>46</v>
      </c>
      <c r="S1770" s="18">
        <v>1924.4789999999998</v>
      </c>
      <c r="T1770" s="19" t="s">
        <v>36</v>
      </c>
      <c r="U1770" s="20" t="s">
        <v>863</v>
      </c>
      <c r="V1770" s="28">
        <v>36.5</v>
      </c>
      <c r="W1770" s="22">
        <v>16</v>
      </c>
      <c r="X1770" s="23"/>
    </row>
    <row r="1771" spans="1:24" s="1" customFormat="1" ht="36.950000000000003" customHeight="1" x14ac:dyDescent="0.3">
      <c r="A1771" s="24" t="s">
        <v>23</v>
      </c>
      <c r="B1771" s="24" t="s">
        <v>2087</v>
      </c>
      <c r="C1771" s="12" t="s">
        <v>2089</v>
      </c>
      <c r="D1771" s="55"/>
      <c r="E1771" s="39" t="str">
        <f>HYPERLINK("https://www.google.ru/search?q=6007537-024&amp;newwindow=1&amp;tbm=isch","Еще фото")</f>
        <v>Еще фото</v>
      </c>
      <c r="F1771" s="13"/>
      <c r="G1771" s="24" t="s">
        <v>2069</v>
      </c>
      <c r="H1771" s="24" t="s">
        <v>593</v>
      </c>
      <c r="I1771" s="24" t="s">
        <v>2070</v>
      </c>
      <c r="J1771" s="14" t="s">
        <v>47</v>
      </c>
      <c r="K1771" s="15" t="s">
        <v>54</v>
      </c>
      <c r="L1771" s="58"/>
      <c r="M1771" s="14"/>
      <c r="N1771" s="14" t="s">
        <v>84</v>
      </c>
      <c r="O1771" s="14"/>
      <c r="P1771" s="15" t="s">
        <v>2083</v>
      </c>
      <c r="Q1771" s="16">
        <v>3099</v>
      </c>
      <c r="R1771" s="17">
        <v>46</v>
      </c>
      <c r="S1771" s="18">
        <v>1924.4789999999998</v>
      </c>
      <c r="T1771" s="19" t="s">
        <v>36</v>
      </c>
      <c r="U1771" s="20" t="s">
        <v>820</v>
      </c>
      <c r="V1771" s="28">
        <v>37.5</v>
      </c>
      <c r="W1771" s="22">
        <v>13</v>
      </c>
      <c r="X1771" s="23"/>
    </row>
    <row r="1772" spans="1:24" s="1" customFormat="1" ht="108" customHeight="1" x14ac:dyDescent="0.3">
      <c r="A1772" s="11" t="s">
        <v>23</v>
      </c>
      <c r="B1772" s="11" t="s">
        <v>2090</v>
      </c>
      <c r="C1772" s="12" t="s">
        <v>2091</v>
      </c>
      <c r="D1772" s="25"/>
      <c r="E1772" s="39" t="str">
        <f>HYPERLINK("https://www.google.ru/search?q=3025044-001&amp;newwindow=1&amp;tbm=isch","Еще фото")</f>
        <v>Еще фото</v>
      </c>
      <c r="F1772" s="13"/>
      <c r="G1772" s="11" t="s">
        <v>2069</v>
      </c>
      <c r="H1772" s="11" t="s">
        <v>593</v>
      </c>
      <c r="I1772" s="14" t="s">
        <v>2070</v>
      </c>
      <c r="J1772" s="14" t="s">
        <v>2092</v>
      </c>
      <c r="K1772" s="15" t="s">
        <v>578</v>
      </c>
      <c r="L1772" s="14" t="s">
        <v>2093</v>
      </c>
      <c r="M1772" s="14"/>
      <c r="N1772" s="14" t="s">
        <v>33</v>
      </c>
      <c r="O1772" s="14"/>
      <c r="P1772" s="15" t="s">
        <v>2094</v>
      </c>
      <c r="Q1772" s="16">
        <v>5699</v>
      </c>
      <c r="R1772" s="17">
        <v>45.6</v>
      </c>
      <c r="S1772" s="18">
        <v>3564.9884999999995</v>
      </c>
      <c r="T1772" s="19" t="s">
        <v>36</v>
      </c>
      <c r="U1772" s="20" t="s">
        <v>600</v>
      </c>
      <c r="V1772" s="22">
        <v>40</v>
      </c>
      <c r="W1772" s="22">
        <v>20</v>
      </c>
      <c r="X1772" s="23"/>
    </row>
    <row r="1773" spans="1:24" s="1" customFormat="1" ht="108" customHeight="1" x14ac:dyDescent="0.3">
      <c r="A1773" s="11" t="s">
        <v>23</v>
      </c>
      <c r="B1773" s="11" t="s">
        <v>2095</v>
      </c>
      <c r="C1773" s="12" t="s">
        <v>2096</v>
      </c>
      <c r="D1773" s="25"/>
      <c r="E1773" s="39" t="str">
        <f>HYPERLINK("https://www.google.ru/search?q=3023761-105&amp;newwindow=1&amp;tbm=isch","Еще фото")</f>
        <v>Еще фото</v>
      </c>
      <c r="F1773" s="13"/>
      <c r="G1773" s="11" t="s">
        <v>2069</v>
      </c>
      <c r="H1773" s="11" t="s">
        <v>593</v>
      </c>
      <c r="I1773" s="14" t="s">
        <v>2070</v>
      </c>
      <c r="J1773" s="14" t="s">
        <v>2092</v>
      </c>
      <c r="K1773" s="15" t="s">
        <v>30</v>
      </c>
      <c r="L1773" s="14" t="s">
        <v>2097</v>
      </c>
      <c r="M1773" s="14" t="s">
        <v>49</v>
      </c>
      <c r="N1773" s="14" t="s">
        <v>91</v>
      </c>
      <c r="O1773" s="14" t="s">
        <v>34</v>
      </c>
      <c r="P1773" s="15" t="s">
        <v>2098</v>
      </c>
      <c r="Q1773" s="16">
        <v>4199</v>
      </c>
      <c r="R1773" s="17">
        <v>45.23</v>
      </c>
      <c r="S1773" s="18">
        <v>2644.9884999999995</v>
      </c>
      <c r="T1773" s="19" t="s">
        <v>36</v>
      </c>
      <c r="U1773" s="20" t="s">
        <v>598</v>
      </c>
      <c r="V1773" s="22">
        <v>39</v>
      </c>
      <c r="W1773" s="22">
        <v>3</v>
      </c>
      <c r="X1773" s="23"/>
    </row>
    <row r="1774" spans="1:24" s="1" customFormat="1" ht="35.1" customHeight="1" x14ac:dyDescent="0.3">
      <c r="A1774" s="11" t="s">
        <v>23</v>
      </c>
      <c r="B1774" s="11" t="s">
        <v>2099</v>
      </c>
      <c r="C1774" s="12" t="s">
        <v>2100</v>
      </c>
      <c r="D1774" s="53"/>
      <c r="E1774" s="39" t="str">
        <f>HYPERLINK("https://www.google.ru/search?q=3021286-001&amp;newwindow=1&amp;tbm=isch","Еще фото")</f>
        <v>Еще фото</v>
      </c>
      <c r="F1774" s="13" t="s">
        <v>98</v>
      </c>
      <c r="G1774" s="11" t="s">
        <v>2069</v>
      </c>
      <c r="H1774" s="11" t="s">
        <v>593</v>
      </c>
      <c r="I1774" s="14" t="s">
        <v>2070</v>
      </c>
      <c r="J1774" s="14" t="s">
        <v>47</v>
      </c>
      <c r="K1774" s="15" t="s">
        <v>578</v>
      </c>
      <c r="L1774" s="56" t="s">
        <v>2101</v>
      </c>
      <c r="M1774" s="14"/>
      <c r="N1774" s="14" t="s">
        <v>33</v>
      </c>
      <c r="O1774" s="14" t="s">
        <v>34</v>
      </c>
      <c r="P1774" s="15" t="s">
        <v>2102</v>
      </c>
      <c r="Q1774" s="16">
        <v>2999</v>
      </c>
      <c r="R1774" s="17">
        <v>40</v>
      </c>
      <c r="S1774" s="18">
        <v>2069.31</v>
      </c>
      <c r="T1774" s="19" t="s">
        <v>36</v>
      </c>
      <c r="U1774" s="20" t="s">
        <v>2084</v>
      </c>
      <c r="V1774" s="28">
        <v>35.5</v>
      </c>
      <c r="W1774" s="22">
        <v>5</v>
      </c>
      <c r="X1774" s="23"/>
    </row>
    <row r="1775" spans="1:24" s="1" customFormat="1" ht="35.1" customHeight="1" x14ac:dyDescent="0.3">
      <c r="A1775" s="24" t="s">
        <v>23</v>
      </c>
      <c r="B1775" s="24" t="s">
        <v>2099</v>
      </c>
      <c r="C1775" s="12" t="s">
        <v>2100</v>
      </c>
      <c r="D1775" s="54"/>
      <c r="E1775" s="39" t="str">
        <f>HYPERLINK("https://www.google.ru/search?q=3021286-001&amp;newwindow=1&amp;tbm=isch","Еще фото")</f>
        <v>Еще фото</v>
      </c>
      <c r="F1775" s="13" t="s">
        <v>98</v>
      </c>
      <c r="G1775" s="24" t="s">
        <v>2069</v>
      </c>
      <c r="H1775" s="24" t="s">
        <v>593</v>
      </c>
      <c r="I1775" s="24" t="s">
        <v>2070</v>
      </c>
      <c r="J1775" s="14" t="s">
        <v>47</v>
      </c>
      <c r="K1775" s="15" t="s">
        <v>578</v>
      </c>
      <c r="L1775" s="57"/>
      <c r="M1775" s="14"/>
      <c r="N1775" s="14" t="s">
        <v>33</v>
      </c>
      <c r="O1775" s="14" t="s">
        <v>34</v>
      </c>
      <c r="P1775" s="15" t="s">
        <v>2102</v>
      </c>
      <c r="Q1775" s="16">
        <v>2999</v>
      </c>
      <c r="R1775" s="17">
        <v>40</v>
      </c>
      <c r="S1775" s="18">
        <v>2069.31</v>
      </c>
      <c r="T1775" s="19" t="s">
        <v>36</v>
      </c>
      <c r="U1775" s="20" t="s">
        <v>863</v>
      </c>
      <c r="V1775" s="28">
        <v>36.5</v>
      </c>
      <c r="W1775" s="22">
        <v>6</v>
      </c>
      <c r="X1775" s="23"/>
    </row>
    <row r="1776" spans="1:24" s="1" customFormat="1" ht="36.950000000000003" customHeight="1" x14ac:dyDescent="0.3">
      <c r="A1776" s="24" t="s">
        <v>23</v>
      </c>
      <c r="B1776" s="24" t="s">
        <v>2099</v>
      </c>
      <c r="C1776" s="12" t="s">
        <v>2100</v>
      </c>
      <c r="D1776" s="55"/>
      <c r="E1776" s="39" t="str">
        <f>HYPERLINK("https://www.google.ru/search?q=3021286-001&amp;newwindow=1&amp;tbm=isch","Еще фото")</f>
        <v>Еще фото</v>
      </c>
      <c r="F1776" s="13" t="s">
        <v>98</v>
      </c>
      <c r="G1776" s="24" t="s">
        <v>2069</v>
      </c>
      <c r="H1776" s="24" t="s">
        <v>593</v>
      </c>
      <c r="I1776" s="24" t="s">
        <v>2070</v>
      </c>
      <c r="J1776" s="14" t="s">
        <v>47</v>
      </c>
      <c r="K1776" s="15" t="s">
        <v>578</v>
      </c>
      <c r="L1776" s="58"/>
      <c r="M1776" s="14"/>
      <c r="N1776" s="14" t="s">
        <v>33</v>
      </c>
      <c r="O1776" s="14" t="s">
        <v>34</v>
      </c>
      <c r="P1776" s="15" t="s">
        <v>2102</v>
      </c>
      <c r="Q1776" s="16">
        <v>2999</v>
      </c>
      <c r="R1776" s="17">
        <v>40</v>
      </c>
      <c r="S1776" s="18">
        <v>2069.31</v>
      </c>
      <c r="T1776" s="19" t="s">
        <v>36</v>
      </c>
      <c r="U1776" s="20" t="s">
        <v>820</v>
      </c>
      <c r="V1776" s="28">
        <v>37.5</v>
      </c>
      <c r="W1776" s="22">
        <v>1</v>
      </c>
      <c r="X1776" s="23"/>
    </row>
    <row r="1777" spans="1:24" s="1" customFormat="1" ht="26.1" customHeight="1" x14ac:dyDescent="0.3">
      <c r="A1777" s="11" t="s">
        <v>23</v>
      </c>
      <c r="B1777" s="11" t="s">
        <v>2099</v>
      </c>
      <c r="C1777" s="12" t="s">
        <v>2103</v>
      </c>
      <c r="D1777" s="53"/>
      <c r="E1777" s="39" t="str">
        <f>HYPERLINK("https://www.google.ru/search?q=3021286-400&amp;newwindow=1&amp;tbm=isch","Еще фото")</f>
        <v>Еще фото</v>
      </c>
      <c r="F1777" s="13"/>
      <c r="G1777" s="11" t="s">
        <v>2069</v>
      </c>
      <c r="H1777" s="11" t="s">
        <v>593</v>
      </c>
      <c r="I1777" s="14" t="s">
        <v>2070</v>
      </c>
      <c r="J1777" s="14" t="s">
        <v>47</v>
      </c>
      <c r="K1777" s="15" t="s">
        <v>578</v>
      </c>
      <c r="L1777" s="56" t="s">
        <v>2104</v>
      </c>
      <c r="M1777" s="14"/>
      <c r="N1777" s="14" t="s">
        <v>91</v>
      </c>
      <c r="O1777" s="14" t="s">
        <v>831</v>
      </c>
      <c r="P1777" s="15" t="s">
        <v>2102</v>
      </c>
      <c r="Q1777" s="16">
        <v>2999</v>
      </c>
      <c r="R1777" s="17">
        <v>40</v>
      </c>
      <c r="S1777" s="18">
        <v>2069.31</v>
      </c>
      <c r="T1777" s="19" t="s">
        <v>36</v>
      </c>
      <c r="U1777" s="20" t="s">
        <v>2084</v>
      </c>
      <c r="V1777" s="28">
        <v>35.5</v>
      </c>
      <c r="W1777" s="22">
        <v>13</v>
      </c>
      <c r="X1777" s="23"/>
    </row>
    <row r="1778" spans="1:24" s="1" customFormat="1" ht="26.1" customHeight="1" x14ac:dyDescent="0.3">
      <c r="A1778" s="24" t="s">
        <v>23</v>
      </c>
      <c r="B1778" s="24" t="s">
        <v>2099</v>
      </c>
      <c r="C1778" s="12" t="s">
        <v>2103</v>
      </c>
      <c r="D1778" s="54"/>
      <c r="E1778" s="39" t="str">
        <f>HYPERLINK("https://www.google.ru/search?q=3021286-400&amp;newwindow=1&amp;tbm=isch","Еще фото")</f>
        <v>Еще фото</v>
      </c>
      <c r="F1778" s="13"/>
      <c r="G1778" s="24" t="s">
        <v>2069</v>
      </c>
      <c r="H1778" s="24" t="s">
        <v>593</v>
      </c>
      <c r="I1778" s="24" t="s">
        <v>2070</v>
      </c>
      <c r="J1778" s="14" t="s">
        <v>47</v>
      </c>
      <c r="K1778" s="15" t="s">
        <v>578</v>
      </c>
      <c r="L1778" s="57"/>
      <c r="M1778" s="14"/>
      <c r="N1778" s="14" t="s">
        <v>91</v>
      </c>
      <c r="O1778" s="14" t="s">
        <v>831</v>
      </c>
      <c r="P1778" s="15" t="s">
        <v>2102</v>
      </c>
      <c r="Q1778" s="16">
        <v>2999</v>
      </c>
      <c r="R1778" s="17">
        <v>40</v>
      </c>
      <c r="S1778" s="18">
        <v>2069.31</v>
      </c>
      <c r="T1778" s="19" t="s">
        <v>36</v>
      </c>
      <c r="U1778" s="20" t="s">
        <v>863</v>
      </c>
      <c r="V1778" s="28">
        <v>36.5</v>
      </c>
      <c r="W1778" s="22">
        <v>10</v>
      </c>
      <c r="X1778" s="23"/>
    </row>
    <row r="1779" spans="1:24" s="1" customFormat="1" ht="26.1" customHeight="1" x14ac:dyDescent="0.3">
      <c r="A1779" s="24" t="s">
        <v>23</v>
      </c>
      <c r="B1779" s="24" t="s">
        <v>2099</v>
      </c>
      <c r="C1779" s="12" t="s">
        <v>2103</v>
      </c>
      <c r="D1779" s="54"/>
      <c r="E1779" s="39" t="str">
        <f>HYPERLINK("https://www.google.ru/search?q=3021286-400&amp;newwindow=1&amp;tbm=isch","Еще фото")</f>
        <v>Еще фото</v>
      </c>
      <c r="F1779" s="13"/>
      <c r="G1779" s="24" t="s">
        <v>2069</v>
      </c>
      <c r="H1779" s="24" t="s">
        <v>593</v>
      </c>
      <c r="I1779" s="24" t="s">
        <v>2070</v>
      </c>
      <c r="J1779" s="14" t="s">
        <v>47</v>
      </c>
      <c r="K1779" s="15" t="s">
        <v>578</v>
      </c>
      <c r="L1779" s="57"/>
      <c r="M1779" s="14"/>
      <c r="N1779" s="14" t="s">
        <v>91</v>
      </c>
      <c r="O1779" s="14" t="s">
        <v>831</v>
      </c>
      <c r="P1779" s="15" t="s">
        <v>2102</v>
      </c>
      <c r="Q1779" s="16">
        <v>2999</v>
      </c>
      <c r="R1779" s="17">
        <v>40</v>
      </c>
      <c r="S1779" s="18">
        <v>2069.31</v>
      </c>
      <c r="T1779" s="19" t="s">
        <v>36</v>
      </c>
      <c r="U1779" s="20" t="s">
        <v>820</v>
      </c>
      <c r="V1779" s="28">
        <v>37.5</v>
      </c>
      <c r="W1779" s="22">
        <v>4</v>
      </c>
      <c r="X1779" s="23"/>
    </row>
    <row r="1780" spans="1:24" s="1" customFormat="1" ht="26.1" customHeight="1" x14ac:dyDescent="0.3">
      <c r="A1780" s="24" t="s">
        <v>23</v>
      </c>
      <c r="B1780" s="24" t="s">
        <v>2099</v>
      </c>
      <c r="C1780" s="12" t="s">
        <v>2103</v>
      </c>
      <c r="D1780" s="55"/>
      <c r="E1780" s="39" t="str">
        <f>HYPERLINK("https://www.google.ru/search?q=3021286-400&amp;newwindow=1&amp;tbm=isch","Еще фото")</f>
        <v>Еще фото</v>
      </c>
      <c r="F1780" s="13"/>
      <c r="G1780" s="24" t="s">
        <v>2069</v>
      </c>
      <c r="H1780" s="24" t="s">
        <v>593</v>
      </c>
      <c r="I1780" s="24" t="s">
        <v>2070</v>
      </c>
      <c r="J1780" s="14" t="s">
        <v>47</v>
      </c>
      <c r="K1780" s="15" t="s">
        <v>578</v>
      </c>
      <c r="L1780" s="58"/>
      <c r="M1780" s="14"/>
      <c r="N1780" s="14" t="s">
        <v>91</v>
      </c>
      <c r="O1780" s="14" t="s">
        <v>831</v>
      </c>
      <c r="P1780" s="15" t="s">
        <v>2102</v>
      </c>
      <c r="Q1780" s="16">
        <v>2999</v>
      </c>
      <c r="R1780" s="17">
        <v>40</v>
      </c>
      <c r="S1780" s="18">
        <v>2069.31</v>
      </c>
      <c r="T1780" s="19" t="s">
        <v>36</v>
      </c>
      <c r="U1780" s="20" t="s">
        <v>598</v>
      </c>
      <c r="V1780" s="22">
        <v>39</v>
      </c>
      <c r="W1780" s="22">
        <v>3</v>
      </c>
      <c r="X1780" s="23"/>
    </row>
    <row r="1781" spans="1:24" s="1" customFormat="1" ht="51.95" customHeight="1" x14ac:dyDescent="0.3">
      <c r="A1781" s="11" t="s">
        <v>23</v>
      </c>
      <c r="B1781" s="11" t="s">
        <v>2105</v>
      </c>
      <c r="C1781" s="12" t="s">
        <v>2106</v>
      </c>
      <c r="D1781" s="59"/>
      <c r="E1781" s="39" t="str">
        <f>HYPERLINK("https://www.google.ru/search?q=3028094-025&amp;newwindow=1&amp;tbm=isch","Еще фото")</f>
        <v>Еще фото</v>
      </c>
      <c r="F1781" s="13" t="s">
        <v>98</v>
      </c>
      <c r="G1781" s="11" t="s">
        <v>2069</v>
      </c>
      <c r="H1781" s="11" t="s">
        <v>593</v>
      </c>
      <c r="I1781" s="14" t="s">
        <v>2070</v>
      </c>
      <c r="J1781" s="14" t="s">
        <v>47</v>
      </c>
      <c r="K1781" s="15" t="s">
        <v>30</v>
      </c>
      <c r="L1781" s="56" t="s">
        <v>2107</v>
      </c>
      <c r="M1781" s="14"/>
      <c r="N1781" s="14" t="s">
        <v>84</v>
      </c>
      <c r="O1781" s="14"/>
      <c r="P1781" s="15" t="s">
        <v>2080</v>
      </c>
      <c r="Q1781" s="16">
        <v>3299</v>
      </c>
      <c r="R1781" s="17">
        <v>40</v>
      </c>
      <c r="S1781" s="18">
        <v>2276.31</v>
      </c>
      <c r="T1781" s="19" t="s">
        <v>36</v>
      </c>
      <c r="U1781" s="20" t="s">
        <v>598</v>
      </c>
      <c r="V1781" s="22">
        <v>39</v>
      </c>
      <c r="W1781" s="22">
        <v>22</v>
      </c>
      <c r="X1781" s="23"/>
    </row>
    <row r="1782" spans="1:24" s="1" customFormat="1" ht="60.95" customHeight="1" x14ac:dyDescent="0.3">
      <c r="A1782" s="24" t="s">
        <v>23</v>
      </c>
      <c r="B1782" s="24" t="s">
        <v>2105</v>
      </c>
      <c r="C1782" s="12" t="s">
        <v>2106</v>
      </c>
      <c r="D1782" s="60"/>
      <c r="E1782" s="39" t="str">
        <f>HYPERLINK("https://www.google.ru/search?q=3028094-025&amp;newwindow=1&amp;tbm=isch","Еще фото")</f>
        <v>Еще фото</v>
      </c>
      <c r="F1782" s="13" t="s">
        <v>98</v>
      </c>
      <c r="G1782" s="24" t="s">
        <v>2069</v>
      </c>
      <c r="H1782" s="24" t="s">
        <v>593</v>
      </c>
      <c r="I1782" s="24" t="s">
        <v>2070</v>
      </c>
      <c r="J1782" s="14" t="s">
        <v>47</v>
      </c>
      <c r="K1782" s="15" t="s">
        <v>30</v>
      </c>
      <c r="L1782" s="58"/>
      <c r="M1782" s="14"/>
      <c r="N1782" s="14" t="s">
        <v>84</v>
      </c>
      <c r="O1782" s="14"/>
      <c r="P1782" s="15" t="s">
        <v>2080</v>
      </c>
      <c r="Q1782" s="16">
        <v>3299</v>
      </c>
      <c r="R1782" s="17">
        <v>40</v>
      </c>
      <c r="S1782" s="18">
        <v>2276.31</v>
      </c>
      <c r="T1782" s="19" t="s">
        <v>36</v>
      </c>
      <c r="U1782" s="20" t="s">
        <v>600</v>
      </c>
      <c r="V1782" s="22">
        <v>40</v>
      </c>
      <c r="W1782" s="22">
        <v>15</v>
      </c>
      <c r="X1782" s="23"/>
    </row>
    <row r="1783" spans="1:24" s="1" customFormat="1" ht="51.95" customHeight="1" x14ac:dyDescent="0.3">
      <c r="A1783" s="11" t="s">
        <v>23</v>
      </c>
      <c r="B1783" s="11" t="s">
        <v>2067</v>
      </c>
      <c r="C1783" s="12" t="s">
        <v>2108</v>
      </c>
      <c r="D1783" s="59"/>
      <c r="E1783" s="39" t="str">
        <f>HYPERLINK("https://www.google.ru/search?q=3028095-001&amp;newwindow=1&amp;tbm=isch","Еще фото")</f>
        <v>Еще фото</v>
      </c>
      <c r="F1783" s="13"/>
      <c r="G1783" s="11" t="s">
        <v>2069</v>
      </c>
      <c r="H1783" s="11" t="s">
        <v>593</v>
      </c>
      <c r="I1783" s="14" t="s">
        <v>2070</v>
      </c>
      <c r="J1783" s="14" t="s">
        <v>47</v>
      </c>
      <c r="K1783" s="15" t="s">
        <v>64</v>
      </c>
      <c r="L1783" s="56" t="s">
        <v>2071</v>
      </c>
      <c r="M1783" s="14"/>
      <c r="N1783" s="14" t="s">
        <v>33</v>
      </c>
      <c r="O1783" s="14"/>
      <c r="P1783" s="15" t="s">
        <v>2080</v>
      </c>
      <c r="Q1783" s="16">
        <v>3299</v>
      </c>
      <c r="R1783" s="17">
        <v>40</v>
      </c>
      <c r="S1783" s="18">
        <v>2276.31</v>
      </c>
      <c r="T1783" s="19" t="s">
        <v>36</v>
      </c>
      <c r="U1783" s="20" t="s">
        <v>820</v>
      </c>
      <c r="V1783" s="22">
        <v>36</v>
      </c>
      <c r="W1783" s="22">
        <v>3</v>
      </c>
      <c r="X1783" s="23"/>
    </row>
    <row r="1784" spans="1:24" s="1" customFormat="1" ht="60.95" customHeight="1" x14ac:dyDescent="0.3">
      <c r="A1784" s="24" t="s">
        <v>23</v>
      </c>
      <c r="B1784" s="24" t="s">
        <v>2067</v>
      </c>
      <c r="C1784" s="12" t="s">
        <v>2108</v>
      </c>
      <c r="D1784" s="60"/>
      <c r="E1784" s="39" t="str">
        <f>HYPERLINK("https://www.google.ru/search?q=3028095-001&amp;newwindow=1&amp;tbm=isch","Еще фото")</f>
        <v>Еще фото</v>
      </c>
      <c r="F1784" s="13"/>
      <c r="G1784" s="24" t="s">
        <v>2069</v>
      </c>
      <c r="H1784" s="24" t="s">
        <v>593</v>
      </c>
      <c r="I1784" s="24" t="s">
        <v>2070</v>
      </c>
      <c r="J1784" s="14" t="s">
        <v>47</v>
      </c>
      <c r="K1784" s="15" t="s">
        <v>64</v>
      </c>
      <c r="L1784" s="58"/>
      <c r="M1784" s="14"/>
      <c r="N1784" s="14" t="s">
        <v>33</v>
      </c>
      <c r="O1784" s="14"/>
      <c r="P1784" s="15" t="s">
        <v>2080</v>
      </c>
      <c r="Q1784" s="16">
        <v>3299</v>
      </c>
      <c r="R1784" s="17">
        <v>40</v>
      </c>
      <c r="S1784" s="18">
        <v>2276.31</v>
      </c>
      <c r="T1784" s="19" t="s">
        <v>36</v>
      </c>
      <c r="U1784" s="20" t="s">
        <v>600</v>
      </c>
      <c r="V1784" s="22">
        <v>38</v>
      </c>
      <c r="W1784" s="22">
        <v>7</v>
      </c>
      <c r="X1784" s="23"/>
    </row>
    <row r="1785" spans="1:24" s="1" customFormat="1" ht="108" customHeight="1" x14ac:dyDescent="0.3">
      <c r="A1785" s="11" t="s">
        <v>23</v>
      </c>
      <c r="B1785" s="11" t="s">
        <v>2067</v>
      </c>
      <c r="C1785" s="12" t="s">
        <v>2109</v>
      </c>
      <c r="D1785" s="25"/>
      <c r="E1785" s="39" t="str">
        <f>HYPERLINK("https://www.google.ru/search?q=3028095-025&amp;newwindow=1&amp;tbm=isch","Еще фото")</f>
        <v>Еще фото</v>
      </c>
      <c r="F1785" s="13"/>
      <c r="G1785" s="11" t="s">
        <v>2069</v>
      </c>
      <c r="H1785" s="11" t="s">
        <v>593</v>
      </c>
      <c r="I1785" s="14" t="s">
        <v>2070</v>
      </c>
      <c r="J1785" s="14" t="s">
        <v>47</v>
      </c>
      <c r="K1785" s="15" t="s">
        <v>64</v>
      </c>
      <c r="L1785" s="14" t="s">
        <v>2071</v>
      </c>
      <c r="M1785" s="14"/>
      <c r="N1785" s="14" t="s">
        <v>84</v>
      </c>
      <c r="O1785" s="14"/>
      <c r="P1785" s="15" t="s">
        <v>2072</v>
      </c>
      <c r="Q1785" s="16">
        <v>4299</v>
      </c>
      <c r="R1785" s="17">
        <v>40</v>
      </c>
      <c r="S1785" s="18">
        <v>2966.31</v>
      </c>
      <c r="T1785" s="19" t="s">
        <v>36</v>
      </c>
      <c r="U1785" s="20" t="s">
        <v>598</v>
      </c>
      <c r="V1785" s="22">
        <v>37</v>
      </c>
      <c r="W1785" s="22">
        <v>5</v>
      </c>
      <c r="X1785" s="23"/>
    </row>
    <row r="1786" spans="1:24" s="1" customFormat="1" ht="26.1" customHeight="1" x14ac:dyDescent="0.3">
      <c r="A1786" s="11" t="s">
        <v>23</v>
      </c>
      <c r="B1786" s="11" t="s">
        <v>2067</v>
      </c>
      <c r="C1786" s="12" t="s">
        <v>2110</v>
      </c>
      <c r="D1786" s="53"/>
      <c r="E1786" s="39" t="str">
        <f>HYPERLINK("https://www.google.ru/search?q=3028095-100&amp;newwindow=1&amp;tbm=isch","Еще фото")</f>
        <v>Еще фото</v>
      </c>
      <c r="F1786" s="13"/>
      <c r="G1786" s="11" t="s">
        <v>2069</v>
      </c>
      <c r="H1786" s="11" t="s">
        <v>593</v>
      </c>
      <c r="I1786" s="14" t="s">
        <v>2070</v>
      </c>
      <c r="J1786" s="14" t="s">
        <v>47</v>
      </c>
      <c r="K1786" s="15" t="s">
        <v>64</v>
      </c>
      <c r="L1786" s="56" t="s">
        <v>2071</v>
      </c>
      <c r="M1786" s="14"/>
      <c r="N1786" s="14" t="s">
        <v>74</v>
      </c>
      <c r="O1786" s="14"/>
      <c r="P1786" s="15" t="s">
        <v>2080</v>
      </c>
      <c r="Q1786" s="16">
        <v>3299</v>
      </c>
      <c r="R1786" s="17">
        <v>40</v>
      </c>
      <c r="S1786" s="18">
        <v>2276.31</v>
      </c>
      <c r="T1786" s="19" t="s">
        <v>36</v>
      </c>
      <c r="U1786" s="20" t="s">
        <v>820</v>
      </c>
      <c r="V1786" s="22">
        <v>36</v>
      </c>
      <c r="W1786" s="22">
        <v>7</v>
      </c>
      <c r="X1786" s="23"/>
    </row>
    <row r="1787" spans="1:24" s="1" customFormat="1" ht="26.1" customHeight="1" x14ac:dyDescent="0.3">
      <c r="A1787" s="24" t="s">
        <v>23</v>
      </c>
      <c r="B1787" s="24" t="s">
        <v>2067</v>
      </c>
      <c r="C1787" s="12" t="s">
        <v>2110</v>
      </c>
      <c r="D1787" s="54"/>
      <c r="E1787" s="39" t="str">
        <f>HYPERLINK("https://www.google.ru/search?q=3028095-100&amp;newwindow=1&amp;tbm=isch","Еще фото")</f>
        <v>Еще фото</v>
      </c>
      <c r="F1787" s="13"/>
      <c r="G1787" s="24" t="s">
        <v>2069</v>
      </c>
      <c r="H1787" s="24" t="s">
        <v>593</v>
      </c>
      <c r="I1787" s="24" t="s">
        <v>2070</v>
      </c>
      <c r="J1787" s="14" t="s">
        <v>47</v>
      </c>
      <c r="K1787" s="15" t="s">
        <v>64</v>
      </c>
      <c r="L1787" s="57"/>
      <c r="M1787" s="14"/>
      <c r="N1787" s="14" t="s">
        <v>74</v>
      </c>
      <c r="O1787" s="14"/>
      <c r="P1787" s="15" t="s">
        <v>2080</v>
      </c>
      <c r="Q1787" s="16">
        <v>3299</v>
      </c>
      <c r="R1787" s="17">
        <v>40</v>
      </c>
      <c r="S1787" s="18">
        <v>2276.31</v>
      </c>
      <c r="T1787" s="19" t="s">
        <v>36</v>
      </c>
      <c r="U1787" s="20" t="s">
        <v>598</v>
      </c>
      <c r="V1787" s="22">
        <v>37</v>
      </c>
      <c r="W1787" s="22">
        <v>26</v>
      </c>
      <c r="X1787" s="23"/>
    </row>
    <row r="1788" spans="1:24" s="1" customFormat="1" ht="26.1" customHeight="1" x14ac:dyDescent="0.3">
      <c r="A1788" s="24" t="s">
        <v>23</v>
      </c>
      <c r="B1788" s="24" t="s">
        <v>2067</v>
      </c>
      <c r="C1788" s="12" t="s">
        <v>2110</v>
      </c>
      <c r="D1788" s="54"/>
      <c r="E1788" s="39" t="str">
        <f>HYPERLINK("https://www.google.ru/search?q=3028095-100&amp;newwindow=1&amp;tbm=isch","Еще фото")</f>
        <v>Еще фото</v>
      </c>
      <c r="F1788" s="13"/>
      <c r="G1788" s="24" t="s">
        <v>2069</v>
      </c>
      <c r="H1788" s="24" t="s">
        <v>593</v>
      </c>
      <c r="I1788" s="24" t="s">
        <v>2070</v>
      </c>
      <c r="J1788" s="14" t="s">
        <v>47</v>
      </c>
      <c r="K1788" s="15" t="s">
        <v>64</v>
      </c>
      <c r="L1788" s="57"/>
      <c r="M1788" s="14"/>
      <c r="N1788" s="14" t="s">
        <v>74</v>
      </c>
      <c r="O1788" s="14"/>
      <c r="P1788" s="15" t="s">
        <v>2080</v>
      </c>
      <c r="Q1788" s="16">
        <v>3299</v>
      </c>
      <c r="R1788" s="17">
        <v>40</v>
      </c>
      <c r="S1788" s="18">
        <v>2276.31</v>
      </c>
      <c r="T1788" s="19" t="s">
        <v>36</v>
      </c>
      <c r="U1788" s="20" t="s">
        <v>600</v>
      </c>
      <c r="V1788" s="22">
        <v>38</v>
      </c>
      <c r="W1788" s="22">
        <v>25</v>
      </c>
      <c r="X1788" s="23"/>
    </row>
    <row r="1789" spans="1:24" s="1" customFormat="1" ht="26.1" customHeight="1" x14ac:dyDescent="0.3">
      <c r="A1789" s="24" t="s">
        <v>23</v>
      </c>
      <c r="B1789" s="24" t="s">
        <v>2067</v>
      </c>
      <c r="C1789" s="12" t="s">
        <v>2110</v>
      </c>
      <c r="D1789" s="55"/>
      <c r="E1789" s="39" t="str">
        <f>HYPERLINK("https://www.google.ru/search?q=3028095-100&amp;newwindow=1&amp;tbm=isch","Еще фото")</f>
        <v>Еще фото</v>
      </c>
      <c r="F1789" s="13"/>
      <c r="G1789" s="24" t="s">
        <v>2069</v>
      </c>
      <c r="H1789" s="24" t="s">
        <v>593</v>
      </c>
      <c r="I1789" s="24" t="s">
        <v>2070</v>
      </c>
      <c r="J1789" s="14" t="s">
        <v>47</v>
      </c>
      <c r="K1789" s="15" t="s">
        <v>64</v>
      </c>
      <c r="L1789" s="58"/>
      <c r="M1789" s="14"/>
      <c r="N1789" s="14" t="s">
        <v>74</v>
      </c>
      <c r="O1789" s="14"/>
      <c r="P1789" s="15" t="s">
        <v>2080</v>
      </c>
      <c r="Q1789" s="16">
        <v>3299</v>
      </c>
      <c r="R1789" s="17">
        <v>40</v>
      </c>
      <c r="S1789" s="18">
        <v>2276.31</v>
      </c>
      <c r="T1789" s="19" t="s">
        <v>36</v>
      </c>
      <c r="U1789" s="20" t="s">
        <v>602</v>
      </c>
      <c r="V1789" s="28">
        <v>39.5</v>
      </c>
      <c r="W1789" s="22">
        <v>8</v>
      </c>
      <c r="X1789" s="23"/>
    </row>
    <row r="1790" spans="1:24" s="1" customFormat="1" ht="108" customHeight="1" x14ac:dyDescent="0.3">
      <c r="A1790" s="11" t="s">
        <v>23</v>
      </c>
      <c r="B1790" s="11" t="s">
        <v>2111</v>
      </c>
      <c r="C1790" s="12" t="s">
        <v>2112</v>
      </c>
      <c r="D1790" s="25"/>
      <c r="E1790" s="39" t="str">
        <f>HYPERLINK("https://www.google.ru/search?q=6000033-001&amp;newwindow=1&amp;tbm=isch","Еще фото")</f>
        <v>Еще фото</v>
      </c>
      <c r="F1790" s="13"/>
      <c r="G1790" s="11" t="s">
        <v>2069</v>
      </c>
      <c r="H1790" s="11" t="s">
        <v>593</v>
      </c>
      <c r="I1790" s="14" t="s">
        <v>2070</v>
      </c>
      <c r="J1790" s="14" t="s">
        <v>47</v>
      </c>
      <c r="K1790" s="15" t="s">
        <v>64</v>
      </c>
      <c r="L1790" s="14" t="s">
        <v>2113</v>
      </c>
      <c r="M1790" s="14"/>
      <c r="N1790" s="14" t="s">
        <v>33</v>
      </c>
      <c r="O1790" s="14"/>
      <c r="P1790" s="15" t="s">
        <v>2072</v>
      </c>
      <c r="Q1790" s="16">
        <v>5399</v>
      </c>
      <c r="R1790" s="17">
        <v>40</v>
      </c>
      <c r="S1790" s="18">
        <v>3725.31</v>
      </c>
      <c r="T1790" s="19" t="s">
        <v>36</v>
      </c>
      <c r="U1790" s="20" t="s">
        <v>600</v>
      </c>
      <c r="V1790" s="22">
        <v>38</v>
      </c>
      <c r="W1790" s="22">
        <v>1</v>
      </c>
      <c r="X1790" s="23"/>
    </row>
    <row r="1791" spans="1:24" s="1" customFormat="1" ht="108" customHeight="1" x14ac:dyDescent="0.3">
      <c r="A1791" s="11" t="s">
        <v>23</v>
      </c>
      <c r="B1791" s="11" t="s">
        <v>2114</v>
      </c>
      <c r="C1791" s="12" t="s">
        <v>2115</v>
      </c>
      <c r="D1791" s="25"/>
      <c r="E1791" s="39" t="str">
        <f>HYPERLINK("https://www.google.ru/search?q=6000337-001&amp;newwindow=1&amp;tbm=isch","Еще фото")</f>
        <v>Еще фото</v>
      </c>
      <c r="F1791" s="13"/>
      <c r="G1791" s="11" t="s">
        <v>2069</v>
      </c>
      <c r="H1791" s="11" t="s">
        <v>593</v>
      </c>
      <c r="I1791" s="14" t="s">
        <v>2070</v>
      </c>
      <c r="J1791" s="14" t="s">
        <v>47</v>
      </c>
      <c r="K1791" s="15" t="s">
        <v>30</v>
      </c>
      <c r="L1791" s="14" t="s">
        <v>2116</v>
      </c>
      <c r="M1791" s="14"/>
      <c r="N1791" s="14" t="s">
        <v>33</v>
      </c>
      <c r="O1791" s="14"/>
      <c r="P1791" s="15" t="s">
        <v>2072</v>
      </c>
      <c r="Q1791" s="16">
        <v>5599</v>
      </c>
      <c r="R1791" s="17">
        <v>40</v>
      </c>
      <c r="S1791" s="18">
        <v>3863.31</v>
      </c>
      <c r="T1791" s="19" t="s">
        <v>36</v>
      </c>
      <c r="U1791" s="20" t="s">
        <v>598</v>
      </c>
      <c r="V1791" s="22">
        <v>39</v>
      </c>
      <c r="W1791" s="22">
        <v>1</v>
      </c>
      <c r="X1791" s="23"/>
    </row>
    <row r="1792" spans="1:24" s="1" customFormat="1" ht="108" customHeight="1" x14ac:dyDescent="0.3">
      <c r="A1792" s="11" t="s">
        <v>23</v>
      </c>
      <c r="B1792" s="11" t="s">
        <v>2117</v>
      </c>
      <c r="C1792" s="12" t="s">
        <v>2118</v>
      </c>
      <c r="D1792" s="25"/>
      <c r="E1792" s="39" t="str">
        <f>HYPERLINK("https://www.google.ru/search?q=6007527-001&amp;newwindow=1&amp;tbm=isch","Еще фото")</f>
        <v>Еще фото</v>
      </c>
      <c r="F1792" s="13"/>
      <c r="G1792" s="11" t="s">
        <v>2069</v>
      </c>
      <c r="H1792" s="11" t="s">
        <v>593</v>
      </c>
      <c r="I1792" s="14" t="s">
        <v>2070</v>
      </c>
      <c r="J1792" s="14" t="s">
        <v>47</v>
      </c>
      <c r="K1792" s="15" t="s">
        <v>30</v>
      </c>
      <c r="L1792" s="14" t="s">
        <v>2119</v>
      </c>
      <c r="M1792" s="14"/>
      <c r="N1792" s="14" t="s">
        <v>33</v>
      </c>
      <c r="O1792" s="14"/>
      <c r="P1792" s="15" t="s">
        <v>2083</v>
      </c>
      <c r="Q1792" s="16">
        <v>6499</v>
      </c>
      <c r="R1792" s="17">
        <v>40</v>
      </c>
      <c r="S1792" s="18">
        <v>4484.3099999999995</v>
      </c>
      <c r="T1792" s="19" t="s">
        <v>36</v>
      </c>
      <c r="U1792" s="20" t="s">
        <v>598</v>
      </c>
      <c r="V1792" s="22">
        <v>39</v>
      </c>
      <c r="W1792" s="22">
        <v>4</v>
      </c>
      <c r="X1792" s="23"/>
    </row>
    <row r="1793" spans="1:24" s="1" customFormat="1" ht="21" customHeight="1" x14ac:dyDescent="0.3">
      <c r="A1793" s="11" t="s">
        <v>23</v>
      </c>
      <c r="B1793" s="11" t="s">
        <v>2117</v>
      </c>
      <c r="C1793" s="26" t="s">
        <v>2120</v>
      </c>
      <c r="D1793" s="53"/>
      <c r="E1793" s="39" t="str">
        <f>HYPERLINK("https://www.google.ru/search?q=6007527-003&amp;newwindow=1&amp;tbm=isch","Еще фото")</f>
        <v>Еще фото</v>
      </c>
      <c r="F1793" s="13"/>
      <c r="G1793" s="11" t="s">
        <v>2069</v>
      </c>
      <c r="H1793" s="11" t="s">
        <v>593</v>
      </c>
      <c r="I1793" s="14" t="s">
        <v>2070</v>
      </c>
      <c r="J1793" s="14" t="s">
        <v>47</v>
      </c>
      <c r="K1793" s="15" t="s">
        <v>30</v>
      </c>
      <c r="L1793" s="56"/>
      <c r="M1793" s="14"/>
      <c r="N1793" s="14" t="s">
        <v>33</v>
      </c>
      <c r="O1793" s="14"/>
      <c r="P1793" s="15" t="s">
        <v>2121</v>
      </c>
      <c r="Q1793" s="16">
        <v>6499</v>
      </c>
      <c r="R1793" s="17">
        <v>40</v>
      </c>
      <c r="S1793" s="18">
        <v>4484.3099999999995</v>
      </c>
      <c r="T1793" s="19" t="s">
        <v>36</v>
      </c>
      <c r="U1793" s="20" t="s">
        <v>598</v>
      </c>
      <c r="V1793" s="22">
        <v>39</v>
      </c>
      <c r="W1793" s="22">
        <v>7</v>
      </c>
      <c r="X1793" s="23"/>
    </row>
    <row r="1794" spans="1:24" s="1" customFormat="1" ht="21" customHeight="1" x14ac:dyDescent="0.3">
      <c r="A1794" s="24" t="s">
        <v>23</v>
      </c>
      <c r="B1794" s="24" t="s">
        <v>2117</v>
      </c>
      <c r="C1794" s="27" t="s">
        <v>2120</v>
      </c>
      <c r="D1794" s="54"/>
      <c r="E1794" s="39" t="str">
        <f>HYPERLINK("https://www.google.ru/search?q=6007527-003&amp;newwindow=1&amp;tbm=isch","Еще фото")</f>
        <v>Еще фото</v>
      </c>
      <c r="F1794" s="13"/>
      <c r="G1794" s="24" t="s">
        <v>2069</v>
      </c>
      <c r="H1794" s="24" t="s">
        <v>593</v>
      </c>
      <c r="I1794" s="24" t="s">
        <v>2070</v>
      </c>
      <c r="J1794" s="14" t="s">
        <v>47</v>
      </c>
      <c r="K1794" s="15" t="s">
        <v>30</v>
      </c>
      <c r="L1794" s="57"/>
      <c r="M1794" s="14"/>
      <c r="N1794" s="14" t="s">
        <v>33</v>
      </c>
      <c r="O1794" s="14"/>
      <c r="P1794" s="15" t="s">
        <v>2121</v>
      </c>
      <c r="Q1794" s="16">
        <v>6499</v>
      </c>
      <c r="R1794" s="17">
        <v>40</v>
      </c>
      <c r="S1794" s="18">
        <v>4484.3099999999995</v>
      </c>
      <c r="T1794" s="19" t="s">
        <v>36</v>
      </c>
      <c r="U1794" s="20" t="s">
        <v>600</v>
      </c>
      <c r="V1794" s="22">
        <v>40</v>
      </c>
      <c r="W1794" s="22">
        <v>17</v>
      </c>
      <c r="X1794" s="23"/>
    </row>
    <row r="1795" spans="1:24" s="1" customFormat="1" ht="21" customHeight="1" x14ac:dyDescent="0.3">
      <c r="A1795" s="24" t="s">
        <v>23</v>
      </c>
      <c r="B1795" s="24" t="s">
        <v>2117</v>
      </c>
      <c r="C1795" s="27" t="s">
        <v>2120</v>
      </c>
      <c r="D1795" s="54"/>
      <c r="E1795" s="39" t="str">
        <f>HYPERLINK("https://www.google.ru/search?q=6007527-003&amp;newwindow=1&amp;tbm=isch","Еще фото")</f>
        <v>Еще фото</v>
      </c>
      <c r="F1795" s="13"/>
      <c r="G1795" s="24" t="s">
        <v>2069</v>
      </c>
      <c r="H1795" s="24" t="s">
        <v>593</v>
      </c>
      <c r="I1795" s="24" t="s">
        <v>2070</v>
      </c>
      <c r="J1795" s="14" t="s">
        <v>47</v>
      </c>
      <c r="K1795" s="15" t="s">
        <v>30</v>
      </c>
      <c r="L1795" s="57"/>
      <c r="M1795" s="14"/>
      <c r="N1795" s="14" t="s">
        <v>33</v>
      </c>
      <c r="O1795" s="14"/>
      <c r="P1795" s="15" t="s">
        <v>2121</v>
      </c>
      <c r="Q1795" s="16">
        <v>6499</v>
      </c>
      <c r="R1795" s="17">
        <v>40</v>
      </c>
      <c r="S1795" s="18">
        <v>4484.3099999999995</v>
      </c>
      <c r="T1795" s="19" t="s">
        <v>36</v>
      </c>
      <c r="U1795" s="20" t="s">
        <v>602</v>
      </c>
      <c r="V1795" s="28">
        <v>41.5</v>
      </c>
      <c r="W1795" s="22">
        <v>26</v>
      </c>
      <c r="X1795" s="23"/>
    </row>
    <row r="1796" spans="1:24" s="1" customFormat="1" ht="21" customHeight="1" x14ac:dyDescent="0.3">
      <c r="A1796" s="24" t="s">
        <v>23</v>
      </c>
      <c r="B1796" s="24" t="s">
        <v>2117</v>
      </c>
      <c r="C1796" s="27" t="s">
        <v>2120</v>
      </c>
      <c r="D1796" s="54"/>
      <c r="E1796" s="39" t="str">
        <f>HYPERLINK("https://www.google.ru/search?q=6007527-003&amp;newwindow=1&amp;tbm=isch","Еще фото")</f>
        <v>Еще фото</v>
      </c>
      <c r="F1796" s="13"/>
      <c r="G1796" s="24" t="s">
        <v>2069</v>
      </c>
      <c r="H1796" s="24" t="s">
        <v>593</v>
      </c>
      <c r="I1796" s="24" t="s">
        <v>2070</v>
      </c>
      <c r="J1796" s="14" t="s">
        <v>47</v>
      </c>
      <c r="K1796" s="15" t="s">
        <v>30</v>
      </c>
      <c r="L1796" s="57"/>
      <c r="M1796" s="14"/>
      <c r="N1796" s="14" t="s">
        <v>33</v>
      </c>
      <c r="O1796" s="14"/>
      <c r="P1796" s="15" t="s">
        <v>2121</v>
      </c>
      <c r="Q1796" s="16">
        <v>6499</v>
      </c>
      <c r="R1796" s="17">
        <v>40</v>
      </c>
      <c r="S1796" s="18">
        <v>4484.3099999999995</v>
      </c>
      <c r="T1796" s="19" t="s">
        <v>36</v>
      </c>
      <c r="U1796" s="20" t="s">
        <v>604</v>
      </c>
      <c r="V1796" s="22">
        <v>43</v>
      </c>
      <c r="W1796" s="22">
        <v>15</v>
      </c>
      <c r="X1796" s="23"/>
    </row>
    <row r="1797" spans="1:24" s="1" customFormat="1" ht="32.1" customHeight="1" x14ac:dyDescent="0.3">
      <c r="A1797" s="24" t="s">
        <v>23</v>
      </c>
      <c r="B1797" s="24" t="s">
        <v>2117</v>
      </c>
      <c r="C1797" s="27" t="s">
        <v>2120</v>
      </c>
      <c r="D1797" s="55"/>
      <c r="E1797" s="39" t="str">
        <f>HYPERLINK("https://www.google.ru/search?q=6007527-003&amp;newwindow=1&amp;tbm=isch","Еще фото")</f>
        <v>Еще фото</v>
      </c>
      <c r="F1797" s="13"/>
      <c r="G1797" s="24" t="s">
        <v>2069</v>
      </c>
      <c r="H1797" s="24" t="s">
        <v>593</v>
      </c>
      <c r="I1797" s="24" t="s">
        <v>2070</v>
      </c>
      <c r="J1797" s="14" t="s">
        <v>47</v>
      </c>
      <c r="K1797" s="15" t="s">
        <v>30</v>
      </c>
      <c r="L1797" s="58"/>
      <c r="M1797" s="14"/>
      <c r="N1797" s="14" t="s">
        <v>33</v>
      </c>
      <c r="O1797" s="14"/>
      <c r="P1797" s="15" t="s">
        <v>2121</v>
      </c>
      <c r="Q1797" s="16">
        <v>6499</v>
      </c>
      <c r="R1797" s="17">
        <v>40</v>
      </c>
      <c r="S1797" s="18">
        <v>4484.3099999999995</v>
      </c>
      <c r="T1797" s="19" t="s">
        <v>36</v>
      </c>
      <c r="U1797" s="20" t="s">
        <v>608</v>
      </c>
      <c r="V1797" s="22">
        <v>45</v>
      </c>
      <c r="W1797" s="22">
        <v>1</v>
      </c>
      <c r="X1797" s="23"/>
    </row>
    <row r="1798" spans="1:24" s="1" customFormat="1" ht="21" customHeight="1" x14ac:dyDescent="0.3">
      <c r="A1798" s="11" t="s">
        <v>23</v>
      </c>
      <c r="B1798" s="11" t="s">
        <v>2117</v>
      </c>
      <c r="C1798" s="26" t="s">
        <v>2122</v>
      </c>
      <c r="D1798" s="53"/>
      <c r="E1798" s="39" t="str">
        <f>HYPERLINK("https://www.google.ru/search?q=6007527-011&amp;newwindow=1&amp;tbm=isch","Еще фото")</f>
        <v>Еще фото</v>
      </c>
      <c r="F1798" s="13"/>
      <c r="G1798" s="11" t="s">
        <v>2069</v>
      </c>
      <c r="H1798" s="11" t="s">
        <v>593</v>
      </c>
      <c r="I1798" s="14" t="s">
        <v>2070</v>
      </c>
      <c r="J1798" s="14" t="s">
        <v>47</v>
      </c>
      <c r="K1798" s="15" t="s">
        <v>30</v>
      </c>
      <c r="L1798" s="56" t="s">
        <v>2119</v>
      </c>
      <c r="M1798" s="14"/>
      <c r="N1798" s="14" t="s">
        <v>84</v>
      </c>
      <c r="O1798" s="14"/>
      <c r="P1798" s="15" t="s">
        <v>2121</v>
      </c>
      <c r="Q1798" s="16">
        <v>6499</v>
      </c>
      <c r="R1798" s="17">
        <v>40</v>
      </c>
      <c r="S1798" s="18">
        <v>4484.3099999999995</v>
      </c>
      <c r="T1798" s="19" t="s">
        <v>36</v>
      </c>
      <c r="U1798" s="20" t="s">
        <v>600</v>
      </c>
      <c r="V1798" s="22">
        <v>40</v>
      </c>
      <c r="W1798" s="22">
        <v>5</v>
      </c>
      <c r="X1798" s="23"/>
    </row>
    <row r="1799" spans="1:24" s="1" customFormat="1" ht="21" customHeight="1" x14ac:dyDescent="0.3">
      <c r="A1799" s="24" t="s">
        <v>23</v>
      </c>
      <c r="B1799" s="24" t="s">
        <v>2117</v>
      </c>
      <c r="C1799" s="27" t="s">
        <v>2122</v>
      </c>
      <c r="D1799" s="54"/>
      <c r="E1799" s="39" t="str">
        <f>HYPERLINK("https://www.google.ru/search?q=6007527-011&amp;newwindow=1&amp;tbm=isch","Еще фото")</f>
        <v>Еще фото</v>
      </c>
      <c r="F1799" s="13"/>
      <c r="G1799" s="24" t="s">
        <v>2069</v>
      </c>
      <c r="H1799" s="24" t="s">
        <v>593</v>
      </c>
      <c r="I1799" s="24" t="s">
        <v>2070</v>
      </c>
      <c r="J1799" s="14" t="s">
        <v>47</v>
      </c>
      <c r="K1799" s="15" t="s">
        <v>30</v>
      </c>
      <c r="L1799" s="57"/>
      <c r="M1799" s="14"/>
      <c r="N1799" s="14" t="s">
        <v>84</v>
      </c>
      <c r="O1799" s="14"/>
      <c r="P1799" s="15" t="s">
        <v>2121</v>
      </c>
      <c r="Q1799" s="16">
        <v>6499</v>
      </c>
      <c r="R1799" s="17">
        <v>40</v>
      </c>
      <c r="S1799" s="18">
        <v>4484.3099999999995</v>
      </c>
      <c r="T1799" s="19" t="s">
        <v>36</v>
      </c>
      <c r="U1799" s="20" t="s">
        <v>602</v>
      </c>
      <c r="V1799" s="28">
        <v>41.5</v>
      </c>
      <c r="W1799" s="22">
        <v>10</v>
      </c>
      <c r="X1799" s="23"/>
    </row>
    <row r="1800" spans="1:24" s="1" customFormat="1" ht="21" customHeight="1" x14ac:dyDescent="0.3">
      <c r="A1800" s="24" t="s">
        <v>23</v>
      </c>
      <c r="B1800" s="24" t="s">
        <v>2117</v>
      </c>
      <c r="C1800" s="27" t="s">
        <v>2122</v>
      </c>
      <c r="D1800" s="54"/>
      <c r="E1800" s="39" t="str">
        <f>HYPERLINK("https://www.google.ru/search?q=6007527-011&amp;newwindow=1&amp;tbm=isch","Еще фото")</f>
        <v>Еще фото</v>
      </c>
      <c r="F1800" s="13"/>
      <c r="G1800" s="24" t="s">
        <v>2069</v>
      </c>
      <c r="H1800" s="24" t="s">
        <v>593</v>
      </c>
      <c r="I1800" s="24" t="s">
        <v>2070</v>
      </c>
      <c r="J1800" s="14" t="s">
        <v>47</v>
      </c>
      <c r="K1800" s="15" t="s">
        <v>30</v>
      </c>
      <c r="L1800" s="57"/>
      <c r="M1800" s="14"/>
      <c r="N1800" s="14" t="s">
        <v>84</v>
      </c>
      <c r="O1800" s="14"/>
      <c r="P1800" s="15" t="s">
        <v>2121</v>
      </c>
      <c r="Q1800" s="16">
        <v>6499</v>
      </c>
      <c r="R1800" s="17">
        <v>40</v>
      </c>
      <c r="S1800" s="18">
        <v>4484.3099999999995</v>
      </c>
      <c r="T1800" s="19" t="s">
        <v>36</v>
      </c>
      <c r="U1800" s="20" t="s">
        <v>604</v>
      </c>
      <c r="V1800" s="22">
        <v>43</v>
      </c>
      <c r="W1800" s="22">
        <v>1</v>
      </c>
      <c r="X1800" s="23"/>
    </row>
    <row r="1801" spans="1:24" s="1" customFormat="1" ht="21" customHeight="1" x14ac:dyDescent="0.3">
      <c r="A1801" s="24" t="s">
        <v>23</v>
      </c>
      <c r="B1801" s="24" t="s">
        <v>2117</v>
      </c>
      <c r="C1801" s="27" t="s">
        <v>2122</v>
      </c>
      <c r="D1801" s="54"/>
      <c r="E1801" s="39" t="str">
        <f>HYPERLINK("https://www.google.ru/search?q=6007527-011&amp;newwindow=1&amp;tbm=isch","Еще фото")</f>
        <v>Еще фото</v>
      </c>
      <c r="F1801" s="13"/>
      <c r="G1801" s="24" t="s">
        <v>2069</v>
      </c>
      <c r="H1801" s="24" t="s">
        <v>593</v>
      </c>
      <c r="I1801" s="24" t="s">
        <v>2070</v>
      </c>
      <c r="J1801" s="14" t="s">
        <v>47</v>
      </c>
      <c r="K1801" s="15" t="s">
        <v>30</v>
      </c>
      <c r="L1801" s="57"/>
      <c r="M1801" s="14"/>
      <c r="N1801" s="14" t="s">
        <v>84</v>
      </c>
      <c r="O1801" s="14"/>
      <c r="P1801" s="15" t="s">
        <v>2121</v>
      </c>
      <c r="Q1801" s="16">
        <v>6499</v>
      </c>
      <c r="R1801" s="17">
        <v>40</v>
      </c>
      <c r="S1801" s="18">
        <v>4484.3099999999995</v>
      </c>
      <c r="T1801" s="19" t="s">
        <v>36</v>
      </c>
      <c r="U1801" s="20" t="s">
        <v>608</v>
      </c>
      <c r="V1801" s="22">
        <v>45</v>
      </c>
      <c r="W1801" s="22">
        <v>3</v>
      </c>
      <c r="X1801" s="23"/>
    </row>
    <row r="1802" spans="1:24" s="1" customFormat="1" ht="32.1" customHeight="1" x14ac:dyDescent="0.3">
      <c r="A1802" s="24" t="s">
        <v>23</v>
      </c>
      <c r="B1802" s="24" t="s">
        <v>2117</v>
      </c>
      <c r="C1802" s="27" t="s">
        <v>2122</v>
      </c>
      <c r="D1802" s="55"/>
      <c r="E1802" s="39" t="str">
        <f>HYPERLINK("https://www.google.ru/search?q=6007527-011&amp;newwindow=1&amp;tbm=isch","Еще фото")</f>
        <v>Еще фото</v>
      </c>
      <c r="F1802" s="13"/>
      <c r="G1802" s="24" t="s">
        <v>2069</v>
      </c>
      <c r="H1802" s="24" t="s">
        <v>593</v>
      </c>
      <c r="I1802" s="24" t="s">
        <v>2070</v>
      </c>
      <c r="J1802" s="14" t="s">
        <v>47</v>
      </c>
      <c r="K1802" s="15" t="s">
        <v>30</v>
      </c>
      <c r="L1802" s="58"/>
      <c r="M1802" s="14"/>
      <c r="N1802" s="14" t="s">
        <v>84</v>
      </c>
      <c r="O1802" s="14"/>
      <c r="P1802" s="15" t="s">
        <v>2121</v>
      </c>
      <c r="Q1802" s="16">
        <v>6499</v>
      </c>
      <c r="R1802" s="17">
        <v>40</v>
      </c>
      <c r="S1802" s="18">
        <v>4484.3099999999995</v>
      </c>
      <c r="T1802" s="19" t="s">
        <v>36</v>
      </c>
      <c r="U1802" s="20" t="s">
        <v>1807</v>
      </c>
      <c r="V1802" s="28">
        <v>46.5</v>
      </c>
      <c r="W1802" s="22">
        <v>1</v>
      </c>
      <c r="X1802" s="23"/>
    </row>
    <row r="1803" spans="1:24" s="1" customFormat="1" ht="35.1" customHeight="1" x14ac:dyDescent="0.3">
      <c r="A1803" s="11" t="s">
        <v>23</v>
      </c>
      <c r="B1803" s="11" t="s">
        <v>2123</v>
      </c>
      <c r="C1803" s="12" t="s">
        <v>2124</v>
      </c>
      <c r="D1803" s="53"/>
      <c r="E1803" s="39" t="str">
        <f>HYPERLINK("https://www.google.ru/search?q=6007532-001&amp;newwindow=1&amp;tbm=isch","Еще фото")</f>
        <v>Еще фото</v>
      </c>
      <c r="F1803" s="13"/>
      <c r="G1803" s="11" t="s">
        <v>2069</v>
      </c>
      <c r="H1803" s="11" t="s">
        <v>593</v>
      </c>
      <c r="I1803" s="14" t="s">
        <v>2070</v>
      </c>
      <c r="J1803" s="14" t="s">
        <v>47</v>
      </c>
      <c r="K1803" s="15" t="s">
        <v>64</v>
      </c>
      <c r="L1803" s="56" t="s">
        <v>2125</v>
      </c>
      <c r="M1803" s="14"/>
      <c r="N1803" s="14" t="s">
        <v>33</v>
      </c>
      <c r="O1803" s="14"/>
      <c r="P1803" s="15" t="s">
        <v>2121</v>
      </c>
      <c r="Q1803" s="16">
        <v>6299</v>
      </c>
      <c r="R1803" s="17">
        <v>40</v>
      </c>
      <c r="S1803" s="18">
        <v>4346.3099999999995</v>
      </c>
      <c r="T1803" s="19" t="s">
        <v>36</v>
      </c>
      <c r="U1803" s="20" t="s">
        <v>820</v>
      </c>
      <c r="V1803" s="22">
        <v>36</v>
      </c>
      <c r="W1803" s="22">
        <v>1</v>
      </c>
      <c r="X1803" s="23"/>
    </row>
    <row r="1804" spans="1:24" s="1" customFormat="1" ht="35.1" customHeight="1" x14ac:dyDescent="0.3">
      <c r="A1804" s="24" t="s">
        <v>23</v>
      </c>
      <c r="B1804" s="24" t="s">
        <v>2123</v>
      </c>
      <c r="C1804" s="12" t="s">
        <v>2124</v>
      </c>
      <c r="D1804" s="54"/>
      <c r="E1804" s="39" t="str">
        <f>HYPERLINK("https://www.google.ru/search?q=6007532-001&amp;newwindow=1&amp;tbm=isch","Еще фото")</f>
        <v>Еще фото</v>
      </c>
      <c r="F1804" s="13"/>
      <c r="G1804" s="24" t="s">
        <v>2069</v>
      </c>
      <c r="H1804" s="24" t="s">
        <v>593</v>
      </c>
      <c r="I1804" s="24" t="s">
        <v>2070</v>
      </c>
      <c r="J1804" s="14" t="s">
        <v>47</v>
      </c>
      <c r="K1804" s="15" t="s">
        <v>64</v>
      </c>
      <c r="L1804" s="57"/>
      <c r="M1804" s="14"/>
      <c r="N1804" s="14" t="s">
        <v>33</v>
      </c>
      <c r="O1804" s="14"/>
      <c r="P1804" s="15" t="s">
        <v>2121</v>
      </c>
      <c r="Q1804" s="16">
        <v>6299</v>
      </c>
      <c r="R1804" s="17">
        <v>40</v>
      </c>
      <c r="S1804" s="18">
        <v>4346.3099999999995</v>
      </c>
      <c r="T1804" s="19" t="s">
        <v>36</v>
      </c>
      <c r="U1804" s="20" t="s">
        <v>600</v>
      </c>
      <c r="V1804" s="22">
        <v>38</v>
      </c>
      <c r="W1804" s="22">
        <v>1</v>
      </c>
      <c r="X1804" s="23"/>
    </row>
    <row r="1805" spans="1:24" s="1" customFormat="1" ht="36.950000000000003" customHeight="1" x14ac:dyDescent="0.3">
      <c r="A1805" s="24" t="s">
        <v>23</v>
      </c>
      <c r="B1805" s="24" t="s">
        <v>2123</v>
      </c>
      <c r="C1805" s="12" t="s">
        <v>2124</v>
      </c>
      <c r="D1805" s="55"/>
      <c r="E1805" s="39" t="str">
        <f>HYPERLINK("https://www.google.ru/search?q=6007532-001&amp;newwindow=1&amp;tbm=isch","Еще фото")</f>
        <v>Еще фото</v>
      </c>
      <c r="F1805" s="13"/>
      <c r="G1805" s="24" t="s">
        <v>2069</v>
      </c>
      <c r="H1805" s="24" t="s">
        <v>593</v>
      </c>
      <c r="I1805" s="24" t="s">
        <v>2070</v>
      </c>
      <c r="J1805" s="14" t="s">
        <v>47</v>
      </c>
      <c r="K1805" s="15" t="s">
        <v>64</v>
      </c>
      <c r="L1805" s="58"/>
      <c r="M1805" s="14"/>
      <c r="N1805" s="14" t="s">
        <v>33</v>
      </c>
      <c r="O1805" s="14"/>
      <c r="P1805" s="15" t="s">
        <v>2121</v>
      </c>
      <c r="Q1805" s="16">
        <v>6299</v>
      </c>
      <c r="R1805" s="17">
        <v>40</v>
      </c>
      <c r="S1805" s="18">
        <v>4346.3099999999995</v>
      </c>
      <c r="T1805" s="19" t="s">
        <v>36</v>
      </c>
      <c r="U1805" s="20" t="s">
        <v>606</v>
      </c>
      <c r="V1805" s="22">
        <v>42</v>
      </c>
      <c r="W1805" s="22">
        <v>1</v>
      </c>
      <c r="X1805" s="23"/>
    </row>
    <row r="1806" spans="1:24" s="1" customFormat="1" ht="51.95" customHeight="1" x14ac:dyDescent="0.3">
      <c r="A1806" s="11" t="s">
        <v>23</v>
      </c>
      <c r="B1806" s="11" t="s">
        <v>2123</v>
      </c>
      <c r="C1806" s="12" t="s">
        <v>2126</v>
      </c>
      <c r="D1806" s="59"/>
      <c r="E1806" s="39" t="str">
        <f>HYPERLINK("https://www.google.ru/search?q=6007532-603&amp;newwindow=1&amp;tbm=isch","Еще фото")</f>
        <v>Еще фото</v>
      </c>
      <c r="F1806" s="13"/>
      <c r="G1806" s="11" t="s">
        <v>2069</v>
      </c>
      <c r="H1806" s="11" t="s">
        <v>593</v>
      </c>
      <c r="I1806" s="14" t="s">
        <v>2070</v>
      </c>
      <c r="J1806" s="14" t="s">
        <v>47</v>
      </c>
      <c r="K1806" s="15" t="s">
        <v>64</v>
      </c>
      <c r="L1806" s="56" t="s">
        <v>2125</v>
      </c>
      <c r="M1806" s="14"/>
      <c r="N1806" s="14" t="s">
        <v>57</v>
      </c>
      <c r="O1806" s="14"/>
      <c r="P1806" s="15" t="s">
        <v>2083</v>
      </c>
      <c r="Q1806" s="16">
        <v>6299</v>
      </c>
      <c r="R1806" s="17">
        <v>40</v>
      </c>
      <c r="S1806" s="18">
        <v>4346.3099999999995</v>
      </c>
      <c r="T1806" s="19" t="s">
        <v>36</v>
      </c>
      <c r="U1806" s="20" t="s">
        <v>820</v>
      </c>
      <c r="V1806" s="22">
        <v>36</v>
      </c>
      <c r="W1806" s="22">
        <v>1</v>
      </c>
      <c r="X1806" s="23"/>
    </row>
    <row r="1807" spans="1:24" s="1" customFormat="1" ht="60.95" customHeight="1" x14ac:dyDescent="0.3">
      <c r="A1807" s="24" t="s">
        <v>23</v>
      </c>
      <c r="B1807" s="24" t="s">
        <v>2123</v>
      </c>
      <c r="C1807" s="12" t="s">
        <v>2126</v>
      </c>
      <c r="D1807" s="60"/>
      <c r="E1807" s="39" t="str">
        <f>HYPERLINK("https://www.google.ru/search?q=6007532-603&amp;newwindow=1&amp;tbm=isch","Еще фото")</f>
        <v>Еще фото</v>
      </c>
      <c r="F1807" s="13"/>
      <c r="G1807" s="24" t="s">
        <v>2069</v>
      </c>
      <c r="H1807" s="24" t="s">
        <v>593</v>
      </c>
      <c r="I1807" s="24" t="s">
        <v>2070</v>
      </c>
      <c r="J1807" s="14" t="s">
        <v>47</v>
      </c>
      <c r="K1807" s="15" t="s">
        <v>64</v>
      </c>
      <c r="L1807" s="58"/>
      <c r="M1807" s="14"/>
      <c r="N1807" s="14" t="s">
        <v>57</v>
      </c>
      <c r="O1807" s="14"/>
      <c r="P1807" s="15" t="s">
        <v>2083</v>
      </c>
      <c r="Q1807" s="16">
        <v>6299</v>
      </c>
      <c r="R1807" s="17">
        <v>40</v>
      </c>
      <c r="S1807" s="18">
        <v>4346.3099999999995</v>
      </c>
      <c r="T1807" s="19" t="s">
        <v>36</v>
      </c>
      <c r="U1807" s="20" t="s">
        <v>602</v>
      </c>
      <c r="V1807" s="28">
        <v>39.5</v>
      </c>
      <c r="W1807" s="22">
        <v>3</v>
      </c>
      <c r="X1807" s="23"/>
    </row>
    <row r="1808" spans="1:24" s="1" customFormat="1" ht="51.95" customHeight="1" x14ac:dyDescent="0.3">
      <c r="A1808" s="11" t="s">
        <v>23</v>
      </c>
      <c r="B1808" s="11" t="s">
        <v>2127</v>
      </c>
      <c r="C1808" s="12" t="s">
        <v>2128</v>
      </c>
      <c r="D1808" s="59"/>
      <c r="E1808" s="39" t="str">
        <f>HYPERLINK("https://www.google.ru/search?q=6007533-001&amp;newwindow=1&amp;tbm=isch","Еще фото")</f>
        <v>Еще фото</v>
      </c>
      <c r="F1808" s="13"/>
      <c r="G1808" s="11" t="s">
        <v>2069</v>
      </c>
      <c r="H1808" s="11" t="s">
        <v>593</v>
      </c>
      <c r="I1808" s="14" t="s">
        <v>2070</v>
      </c>
      <c r="J1808" s="14" t="s">
        <v>47</v>
      </c>
      <c r="K1808" s="15" t="s">
        <v>64</v>
      </c>
      <c r="L1808" s="56" t="s">
        <v>2129</v>
      </c>
      <c r="M1808" s="14"/>
      <c r="N1808" s="14" t="s">
        <v>33</v>
      </c>
      <c r="O1808" s="14"/>
      <c r="P1808" s="15" t="s">
        <v>2083</v>
      </c>
      <c r="Q1808" s="16">
        <v>3099</v>
      </c>
      <c r="R1808" s="17">
        <v>40</v>
      </c>
      <c r="S1808" s="18">
        <v>2138.31</v>
      </c>
      <c r="T1808" s="19" t="s">
        <v>36</v>
      </c>
      <c r="U1808" s="20" t="s">
        <v>820</v>
      </c>
      <c r="V1808" s="22">
        <v>36</v>
      </c>
      <c r="W1808" s="22">
        <v>10</v>
      </c>
      <c r="X1808" s="23"/>
    </row>
    <row r="1809" spans="1:24" s="1" customFormat="1" ht="60.95" customHeight="1" x14ac:dyDescent="0.3">
      <c r="A1809" s="24" t="s">
        <v>23</v>
      </c>
      <c r="B1809" s="24" t="s">
        <v>2127</v>
      </c>
      <c r="C1809" s="12" t="s">
        <v>2128</v>
      </c>
      <c r="D1809" s="60"/>
      <c r="E1809" s="39" t="str">
        <f>HYPERLINK("https://www.google.ru/search?q=6007533-001&amp;newwindow=1&amp;tbm=isch","Еще фото")</f>
        <v>Еще фото</v>
      </c>
      <c r="F1809" s="13"/>
      <c r="G1809" s="24" t="s">
        <v>2069</v>
      </c>
      <c r="H1809" s="24" t="s">
        <v>593</v>
      </c>
      <c r="I1809" s="24" t="s">
        <v>2070</v>
      </c>
      <c r="J1809" s="14" t="s">
        <v>47</v>
      </c>
      <c r="K1809" s="15" t="s">
        <v>64</v>
      </c>
      <c r="L1809" s="58"/>
      <c r="M1809" s="14"/>
      <c r="N1809" s="14" t="s">
        <v>33</v>
      </c>
      <c r="O1809" s="14"/>
      <c r="P1809" s="15" t="s">
        <v>2083</v>
      </c>
      <c r="Q1809" s="16">
        <v>3099</v>
      </c>
      <c r="R1809" s="17">
        <v>40</v>
      </c>
      <c r="S1809" s="18">
        <v>2138.31</v>
      </c>
      <c r="T1809" s="19" t="s">
        <v>36</v>
      </c>
      <c r="U1809" s="20" t="s">
        <v>598</v>
      </c>
      <c r="V1809" s="22">
        <v>37</v>
      </c>
      <c r="W1809" s="22">
        <v>10</v>
      </c>
      <c r="X1809" s="23"/>
    </row>
    <row r="1810" spans="1:24" s="1" customFormat="1" ht="35.1" customHeight="1" x14ac:dyDescent="0.3">
      <c r="A1810" s="11" t="s">
        <v>23</v>
      </c>
      <c r="B1810" s="11" t="s">
        <v>2127</v>
      </c>
      <c r="C1810" s="12" t="s">
        <v>2130</v>
      </c>
      <c r="D1810" s="53"/>
      <c r="E1810" s="39" t="str">
        <f>HYPERLINK("https://www.google.ru/search?q=6007533-100&amp;newwindow=1&amp;tbm=isch","Еще фото")</f>
        <v>Еще фото</v>
      </c>
      <c r="F1810" s="13"/>
      <c r="G1810" s="11" t="s">
        <v>2069</v>
      </c>
      <c r="H1810" s="11" t="s">
        <v>593</v>
      </c>
      <c r="I1810" s="14" t="s">
        <v>2070</v>
      </c>
      <c r="J1810" s="14" t="s">
        <v>47</v>
      </c>
      <c r="K1810" s="15" t="s">
        <v>64</v>
      </c>
      <c r="L1810" s="56" t="s">
        <v>2129</v>
      </c>
      <c r="M1810" s="14"/>
      <c r="N1810" s="14" t="s">
        <v>74</v>
      </c>
      <c r="O1810" s="14"/>
      <c r="P1810" s="15" t="s">
        <v>2083</v>
      </c>
      <c r="Q1810" s="16">
        <v>3099</v>
      </c>
      <c r="R1810" s="17">
        <v>40</v>
      </c>
      <c r="S1810" s="18">
        <v>2138.31</v>
      </c>
      <c r="T1810" s="19" t="s">
        <v>36</v>
      </c>
      <c r="U1810" s="20" t="s">
        <v>820</v>
      </c>
      <c r="V1810" s="22">
        <v>36</v>
      </c>
      <c r="W1810" s="22">
        <v>6</v>
      </c>
      <c r="X1810" s="23"/>
    </row>
    <row r="1811" spans="1:24" s="1" customFormat="1" ht="35.1" customHeight="1" x14ac:dyDescent="0.3">
      <c r="A1811" s="24" t="s">
        <v>23</v>
      </c>
      <c r="B1811" s="24" t="s">
        <v>2127</v>
      </c>
      <c r="C1811" s="12" t="s">
        <v>2130</v>
      </c>
      <c r="D1811" s="54"/>
      <c r="E1811" s="39" t="str">
        <f>HYPERLINK("https://www.google.ru/search?q=6007533-100&amp;newwindow=1&amp;tbm=isch","Еще фото")</f>
        <v>Еще фото</v>
      </c>
      <c r="F1811" s="13"/>
      <c r="G1811" s="24" t="s">
        <v>2069</v>
      </c>
      <c r="H1811" s="24" t="s">
        <v>593</v>
      </c>
      <c r="I1811" s="24" t="s">
        <v>2070</v>
      </c>
      <c r="J1811" s="14" t="s">
        <v>47</v>
      </c>
      <c r="K1811" s="15" t="s">
        <v>64</v>
      </c>
      <c r="L1811" s="57"/>
      <c r="M1811" s="14"/>
      <c r="N1811" s="14" t="s">
        <v>74</v>
      </c>
      <c r="O1811" s="14"/>
      <c r="P1811" s="15" t="s">
        <v>2083</v>
      </c>
      <c r="Q1811" s="16">
        <v>3099</v>
      </c>
      <c r="R1811" s="17">
        <v>40</v>
      </c>
      <c r="S1811" s="18">
        <v>2138.31</v>
      </c>
      <c r="T1811" s="19" t="s">
        <v>36</v>
      </c>
      <c r="U1811" s="20" t="s">
        <v>598</v>
      </c>
      <c r="V1811" s="22">
        <v>37</v>
      </c>
      <c r="W1811" s="22">
        <v>12</v>
      </c>
      <c r="X1811" s="23"/>
    </row>
    <row r="1812" spans="1:24" s="1" customFormat="1" ht="36.950000000000003" customHeight="1" x14ac:dyDescent="0.3">
      <c r="A1812" s="24" t="s">
        <v>23</v>
      </c>
      <c r="B1812" s="24" t="s">
        <v>2127</v>
      </c>
      <c r="C1812" s="12" t="s">
        <v>2130</v>
      </c>
      <c r="D1812" s="55"/>
      <c r="E1812" s="39" t="str">
        <f>HYPERLINK("https://www.google.ru/search?q=6007533-100&amp;newwindow=1&amp;tbm=isch","Еще фото")</f>
        <v>Еще фото</v>
      </c>
      <c r="F1812" s="13"/>
      <c r="G1812" s="24" t="s">
        <v>2069</v>
      </c>
      <c r="H1812" s="24" t="s">
        <v>593</v>
      </c>
      <c r="I1812" s="24" t="s">
        <v>2070</v>
      </c>
      <c r="J1812" s="14" t="s">
        <v>47</v>
      </c>
      <c r="K1812" s="15" t="s">
        <v>64</v>
      </c>
      <c r="L1812" s="58"/>
      <c r="M1812" s="14"/>
      <c r="N1812" s="14" t="s">
        <v>74</v>
      </c>
      <c r="O1812" s="14"/>
      <c r="P1812" s="15" t="s">
        <v>2083</v>
      </c>
      <c r="Q1812" s="16">
        <v>3099</v>
      </c>
      <c r="R1812" s="17">
        <v>40</v>
      </c>
      <c r="S1812" s="18">
        <v>2138.31</v>
      </c>
      <c r="T1812" s="19" t="s">
        <v>36</v>
      </c>
      <c r="U1812" s="20" t="s">
        <v>600</v>
      </c>
      <c r="V1812" s="22">
        <v>38</v>
      </c>
      <c r="W1812" s="22">
        <v>3</v>
      </c>
      <c r="X1812" s="23"/>
    </row>
    <row r="1813" spans="1:24" s="1" customFormat="1" ht="35.1" customHeight="1" x14ac:dyDescent="0.3">
      <c r="A1813" s="11" t="s">
        <v>23</v>
      </c>
      <c r="B1813" s="11" t="s">
        <v>2127</v>
      </c>
      <c r="C1813" s="12" t="s">
        <v>2131</v>
      </c>
      <c r="D1813" s="53"/>
      <c r="E1813" s="39" t="str">
        <f>HYPERLINK("https://www.google.ru/search?q=6007533-647&amp;newwindow=1&amp;tbm=isch","Еще фото")</f>
        <v>Еще фото</v>
      </c>
      <c r="F1813" s="13"/>
      <c r="G1813" s="11" t="s">
        <v>2069</v>
      </c>
      <c r="H1813" s="11" t="s">
        <v>593</v>
      </c>
      <c r="I1813" s="14" t="s">
        <v>2070</v>
      </c>
      <c r="J1813" s="14" t="s">
        <v>47</v>
      </c>
      <c r="K1813" s="15" t="s">
        <v>64</v>
      </c>
      <c r="L1813" s="56" t="s">
        <v>2129</v>
      </c>
      <c r="M1813" s="14"/>
      <c r="N1813" s="14" t="s">
        <v>57</v>
      </c>
      <c r="O1813" s="14"/>
      <c r="P1813" s="15" t="s">
        <v>2083</v>
      </c>
      <c r="Q1813" s="16">
        <v>3099</v>
      </c>
      <c r="R1813" s="17">
        <v>40</v>
      </c>
      <c r="S1813" s="18">
        <v>2138.31</v>
      </c>
      <c r="T1813" s="19" t="s">
        <v>36</v>
      </c>
      <c r="U1813" s="20" t="s">
        <v>820</v>
      </c>
      <c r="V1813" s="22">
        <v>36</v>
      </c>
      <c r="W1813" s="22">
        <v>6</v>
      </c>
      <c r="X1813" s="23"/>
    </row>
    <row r="1814" spans="1:24" s="1" customFormat="1" ht="35.1" customHeight="1" x14ac:dyDescent="0.3">
      <c r="A1814" s="24" t="s">
        <v>23</v>
      </c>
      <c r="B1814" s="24" t="s">
        <v>2127</v>
      </c>
      <c r="C1814" s="12" t="s">
        <v>2131</v>
      </c>
      <c r="D1814" s="54"/>
      <c r="E1814" s="39" t="str">
        <f>HYPERLINK("https://www.google.ru/search?q=6007533-647&amp;newwindow=1&amp;tbm=isch","Еще фото")</f>
        <v>Еще фото</v>
      </c>
      <c r="F1814" s="13"/>
      <c r="G1814" s="24" t="s">
        <v>2069</v>
      </c>
      <c r="H1814" s="24" t="s">
        <v>593</v>
      </c>
      <c r="I1814" s="24" t="s">
        <v>2070</v>
      </c>
      <c r="J1814" s="14" t="s">
        <v>47</v>
      </c>
      <c r="K1814" s="15" t="s">
        <v>64</v>
      </c>
      <c r="L1814" s="57"/>
      <c r="M1814" s="14"/>
      <c r="N1814" s="14" t="s">
        <v>57</v>
      </c>
      <c r="O1814" s="14"/>
      <c r="P1814" s="15" t="s">
        <v>2083</v>
      </c>
      <c r="Q1814" s="16">
        <v>3099</v>
      </c>
      <c r="R1814" s="17">
        <v>40</v>
      </c>
      <c r="S1814" s="18">
        <v>2138.31</v>
      </c>
      <c r="T1814" s="19" t="s">
        <v>36</v>
      </c>
      <c r="U1814" s="20" t="s">
        <v>598</v>
      </c>
      <c r="V1814" s="22">
        <v>37</v>
      </c>
      <c r="W1814" s="22">
        <v>1</v>
      </c>
      <c r="X1814" s="23"/>
    </row>
    <row r="1815" spans="1:24" s="1" customFormat="1" ht="36.950000000000003" customHeight="1" x14ac:dyDescent="0.3">
      <c r="A1815" s="24" t="s">
        <v>23</v>
      </c>
      <c r="B1815" s="24" t="s">
        <v>2127</v>
      </c>
      <c r="C1815" s="12" t="s">
        <v>2131</v>
      </c>
      <c r="D1815" s="55"/>
      <c r="E1815" s="39" t="str">
        <f>HYPERLINK("https://www.google.ru/search?q=6007533-647&amp;newwindow=1&amp;tbm=isch","Еще фото")</f>
        <v>Еще фото</v>
      </c>
      <c r="F1815" s="13"/>
      <c r="G1815" s="24" t="s">
        <v>2069</v>
      </c>
      <c r="H1815" s="24" t="s">
        <v>593</v>
      </c>
      <c r="I1815" s="24" t="s">
        <v>2070</v>
      </c>
      <c r="J1815" s="14" t="s">
        <v>47</v>
      </c>
      <c r="K1815" s="15" t="s">
        <v>64</v>
      </c>
      <c r="L1815" s="58"/>
      <c r="M1815" s="14"/>
      <c r="N1815" s="14" t="s">
        <v>57</v>
      </c>
      <c r="O1815" s="14"/>
      <c r="P1815" s="15" t="s">
        <v>2083</v>
      </c>
      <c r="Q1815" s="16">
        <v>3099</v>
      </c>
      <c r="R1815" s="17">
        <v>40</v>
      </c>
      <c r="S1815" s="18">
        <v>2138.31</v>
      </c>
      <c r="T1815" s="19" t="s">
        <v>36</v>
      </c>
      <c r="U1815" s="20" t="s">
        <v>600</v>
      </c>
      <c r="V1815" s="22">
        <v>38</v>
      </c>
      <c r="W1815" s="22">
        <v>4</v>
      </c>
      <c r="X1815" s="23"/>
    </row>
    <row r="1816" spans="1:24" s="1" customFormat="1" ht="35.1" customHeight="1" x14ac:dyDescent="0.3">
      <c r="A1816" s="11" t="s">
        <v>23</v>
      </c>
      <c r="B1816" s="11" t="s">
        <v>2081</v>
      </c>
      <c r="C1816" s="12" t="s">
        <v>2132</v>
      </c>
      <c r="D1816" s="53"/>
      <c r="E1816" s="39" t="str">
        <f>HYPERLINK("https://www.google.ru/search?q=6007536-100&amp;newwindow=1&amp;tbm=isch","Еще фото")</f>
        <v>Еще фото</v>
      </c>
      <c r="F1816" s="13"/>
      <c r="G1816" s="11" t="s">
        <v>2069</v>
      </c>
      <c r="H1816" s="11" t="s">
        <v>593</v>
      </c>
      <c r="I1816" s="14" t="s">
        <v>2070</v>
      </c>
      <c r="J1816" s="14" t="s">
        <v>47</v>
      </c>
      <c r="K1816" s="15" t="s">
        <v>54</v>
      </c>
      <c r="L1816" s="56"/>
      <c r="M1816" s="14"/>
      <c r="N1816" s="14" t="s">
        <v>74</v>
      </c>
      <c r="O1816" s="14"/>
      <c r="P1816" s="15" t="s">
        <v>2121</v>
      </c>
      <c r="Q1816" s="16">
        <v>5899</v>
      </c>
      <c r="R1816" s="17">
        <v>40</v>
      </c>
      <c r="S1816" s="18">
        <v>4070.31</v>
      </c>
      <c r="T1816" s="19" t="s">
        <v>36</v>
      </c>
      <c r="U1816" s="20" t="s">
        <v>2084</v>
      </c>
      <c r="V1816" s="28">
        <v>35.5</v>
      </c>
      <c r="W1816" s="22">
        <v>7</v>
      </c>
      <c r="X1816" s="23"/>
    </row>
    <row r="1817" spans="1:24" s="1" customFormat="1" ht="35.1" customHeight="1" x14ac:dyDescent="0.3">
      <c r="A1817" s="24" t="s">
        <v>23</v>
      </c>
      <c r="B1817" s="24" t="s">
        <v>2081</v>
      </c>
      <c r="C1817" s="12" t="s">
        <v>2132</v>
      </c>
      <c r="D1817" s="54"/>
      <c r="E1817" s="39" t="str">
        <f>HYPERLINK("https://www.google.ru/search?q=6007536-100&amp;newwindow=1&amp;tbm=isch","Еще фото")</f>
        <v>Еще фото</v>
      </c>
      <c r="F1817" s="13"/>
      <c r="G1817" s="24" t="s">
        <v>2069</v>
      </c>
      <c r="H1817" s="24" t="s">
        <v>593</v>
      </c>
      <c r="I1817" s="24" t="s">
        <v>2070</v>
      </c>
      <c r="J1817" s="14" t="s">
        <v>47</v>
      </c>
      <c r="K1817" s="15" t="s">
        <v>54</v>
      </c>
      <c r="L1817" s="57"/>
      <c r="M1817" s="14"/>
      <c r="N1817" s="14" t="s">
        <v>74</v>
      </c>
      <c r="O1817" s="14"/>
      <c r="P1817" s="15" t="s">
        <v>2121</v>
      </c>
      <c r="Q1817" s="16">
        <v>5899</v>
      </c>
      <c r="R1817" s="17">
        <v>40</v>
      </c>
      <c r="S1817" s="18">
        <v>4070.31</v>
      </c>
      <c r="T1817" s="19" t="s">
        <v>36</v>
      </c>
      <c r="U1817" s="20" t="s">
        <v>863</v>
      </c>
      <c r="V1817" s="28">
        <v>36.5</v>
      </c>
      <c r="W1817" s="22">
        <v>19</v>
      </c>
      <c r="X1817" s="23"/>
    </row>
    <row r="1818" spans="1:24" s="1" customFormat="1" ht="36.950000000000003" customHeight="1" x14ac:dyDescent="0.3">
      <c r="A1818" s="24" t="s">
        <v>23</v>
      </c>
      <c r="B1818" s="24" t="s">
        <v>2081</v>
      </c>
      <c r="C1818" s="12" t="s">
        <v>2132</v>
      </c>
      <c r="D1818" s="55"/>
      <c r="E1818" s="39" t="str">
        <f>HYPERLINK("https://www.google.ru/search?q=6007536-100&amp;newwindow=1&amp;tbm=isch","Еще фото")</f>
        <v>Еще фото</v>
      </c>
      <c r="F1818" s="13"/>
      <c r="G1818" s="24" t="s">
        <v>2069</v>
      </c>
      <c r="H1818" s="24" t="s">
        <v>593</v>
      </c>
      <c r="I1818" s="24" t="s">
        <v>2070</v>
      </c>
      <c r="J1818" s="14" t="s">
        <v>47</v>
      </c>
      <c r="K1818" s="15" t="s">
        <v>54</v>
      </c>
      <c r="L1818" s="58"/>
      <c r="M1818" s="14"/>
      <c r="N1818" s="14" t="s">
        <v>74</v>
      </c>
      <c r="O1818" s="14"/>
      <c r="P1818" s="15" t="s">
        <v>2121</v>
      </c>
      <c r="Q1818" s="16">
        <v>5899</v>
      </c>
      <c r="R1818" s="17">
        <v>40</v>
      </c>
      <c r="S1818" s="18">
        <v>4070.31</v>
      </c>
      <c r="T1818" s="19" t="s">
        <v>36</v>
      </c>
      <c r="U1818" s="20" t="s">
        <v>820</v>
      </c>
      <c r="V1818" s="28">
        <v>37.5</v>
      </c>
      <c r="W1818" s="22">
        <v>17</v>
      </c>
      <c r="X1818" s="23"/>
    </row>
    <row r="1819" spans="1:24" s="1" customFormat="1" ht="35.1" customHeight="1" x14ac:dyDescent="0.3">
      <c r="A1819" s="11" t="s">
        <v>23</v>
      </c>
      <c r="B1819" s="11" t="s">
        <v>2133</v>
      </c>
      <c r="C1819" s="12" t="s">
        <v>2134</v>
      </c>
      <c r="D1819" s="53"/>
      <c r="E1819" s="39" t="str">
        <f>HYPERLINK("https://www.google.ru/search?q=6007538-600&amp;newwindow=1&amp;tbm=isch","Еще фото")</f>
        <v>Еще фото</v>
      </c>
      <c r="F1819" s="13"/>
      <c r="G1819" s="11" t="s">
        <v>2069</v>
      </c>
      <c r="H1819" s="11" t="s">
        <v>593</v>
      </c>
      <c r="I1819" s="14" t="s">
        <v>2070</v>
      </c>
      <c r="J1819" s="14" t="s">
        <v>47</v>
      </c>
      <c r="K1819" s="15" t="s">
        <v>54</v>
      </c>
      <c r="L1819" s="56"/>
      <c r="M1819" s="14"/>
      <c r="N1819" s="14" t="s">
        <v>57</v>
      </c>
      <c r="O1819" s="14"/>
      <c r="P1819" s="15" t="s">
        <v>2121</v>
      </c>
      <c r="Q1819" s="16">
        <v>6199</v>
      </c>
      <c r="R1819" s="17">
        <v>40</v>
      </c>
      <c r="S1819" s="18">
        <v>4277.3099999999995</v>
      </c>
      <c r="T1819" s="19" t="s">
        <v>36</v>
      </c>
      <c r="U1819" s="20" t="s">
        <v>2084</v>
      </c>
      <c r="V1819" s="28">
        <v>35.5</v>
      </c>
      <c r="W1819" s="22">
        <v>7</v>
      </c>
      <c r="X1819" s="23"/>
    </row>
    <row r="1820" spans="1:24" s="1" customFormat="1" ht="35.1" customHeight="1" x14ac:dyDescent="0.3">
      <c r="A1820" s="24" t="s">
        <v>23</v>
      </c>
      <c r="B1820" s="24" t="s">
        <v>2133</v>
      </c>
      <c r="C1820" s="12" t="s">
        <v>2134</v>
      </c>
      <c r="D1820" s="54"/>
      <c r="E1820" s="39" t="str">
        <f>HYPERLINK("https://www.google.ru/search?q=6007538-600&amp;newwindow=1&amp;tbm=isch","Еще фото")</f>
        <v>Еще фото</v>
      </c>
      <c r="F1820" s="13"/>
      <c r="G1820" s="24" t="s">
        <v>2069</v>
      </c>
      <c r="H1820" s="24" t="s">
        <v>593</v>
      </c>
      <c r="I1820" s="24" t="s">
        <v>2070</v>
      </c>
      <c r="J1820" s="14" t="s">
        <v>47</v>
      </c>
      <c r="K1820" s="15" t="s">
        <v>54</v>
      </c>
      <c r="L1820" s="57"/>
      <c r="M1820" s="14"/>
      <c r="N1820" s="14" t="s">
        <v>57</v>
      </c>
      <c r="O1820" s="14"/>
      <c r="P1820" s="15" t="s">
        <v>2121</v>
      </c>
      <c r="Q1820" s="16">
        <v>6199</v>
      </c>
      <c r="R1820" s="17">
        <v>40</v>
      </c>
      <c r="S1820" s="18">
        <v>4277.3099999999995</v>
      </c>
      <c r="T1820" s="19" t="s">
        <v>36</v>
      </c>
      <c r="U1820" s="20" t="s">
        <v>863</v>
      </c>
      <c r="V1820" s="28">
        <v>36.5</v>
      </c>
      <c r="W1820" s="22">
        <v>19</v>
      </c>
      <c r="X1820" s="23"/>
    </row>
    <row r="1821" spans="1:24" s="1" customFormat="1" ht="36.950000000000003" customHeight="1" x14ac:dyDescent="0.3">
      <c r="A1821" s="24" t="s">
        <v>23</v>
      </c>
      <c r="B1821" s="24" t="s">
        <v>2133</v>
      </c>
      <c r="C1821" s="12" t="s">
        <v>2134</v>
      </c>
      <c r="D1821" s="55"/>
      <c r="E1821" s="39" t="str">
        <f>HYPERLINK("https://www.google.ru/search?q=6007538-600&amp;newwindow=1&amp;tbm=isch","Еще фото")</f>
        <v>Еще фото</v>
      </c>
      <c r="F1821" s="13"/>
      <c r="G1821" s="24" t="s">
        <v>2069</v>
      </c>
      <c r="H1821" s="24" t="s">
        <v>593</v>
      </c>
      <c r="I1821" s="24" t="s">
        <v>2070</v>
      </c>
      <c r="J1821" s="14" t="s">
        <v>47</v>
      </c>
      <c r="K1821" s="15" t="s">
        <v>54</v>
      </c>
      <c r="L1821" s="58"/>
      <c r="M1821" s="14"/>
      <c r="N1821" s="14" t="s">
        <v>57</v>
      </c>
      <c r="O1821" s="14"/>
      <c r="P1821" s="15" t="s">
        <v>2121</v>
      </c>
      <c r="Q1821" s="16">
        <v>6199</v>
      </c>
      <c r="R1821" s="17">
        <v>40</v>
      </c>
      <c r="S1821" s="18">
        <v>4277.3099999999995</v>
      </c>
      <c r="T1821" s="19" t="s">
        <v>36</v>
      </c>
      <c r="U1821" s="20" t="s">
        <v>820</v>
      </c>
      <c r="V1821" s="28">
        <v>37.5</v>
      </c>
      <c r="W1821" s="22">
        <v>19</v>
      </c>
      <c r="X1821" s="23"/>
    </row>
    <row r="1822" spans="1:24" s="1" customFormat="1" ht="35.1" customHeight="1" x14ac:dyDescent="0.3">
      <c r="A1822" s="11" t="s">
        <v>23</v>
      </c>
      <c r="B1822" s="11" t="s">
        <v>2135</v>
      </c>
      <c r="C1822" s="12" t="s">
        <v>2136</v>
      </c>
      <c r="D1822" s="53"/>
      <c r="E1822" s="39" t="str">
        <f>HYPERLINK("https://www.google.ru/search?q=6004082-410&amp;newwindow=1&amp;tbm=isch","Еще фото")</f>
        <v>Еще фото</v>
      </c>
      <c r="F1822" s="13"/>
      <c r="G1822" s="11" t="s">
        <v>2137</v>
      </c>
      <c r="H1822" s="11" t="s">
        <v>27</v>
      </c>
      <c r="I1822" s="14" t="s">
        <v>2138</v>
      </c>
      <c r="J1822" s="14" t="s">
        <v>506</v>
      </c>
      <c r="K1822" s="15" t="s">
        <v>54</v>
      </c>
      <c r="L1822" s="56" t="s">
        <v>2139</v>
      </c>
      <c r="M1822" s="14"/>
      <c r="N1822" s="14" t="s">
        <v>91</v>
      </c>
      <c r="O1822" s="14"/>
      <c r="P1822" s="15" t="s">
        <v>133</v>
      </c>
      <c r="Q1822" s="16">
        <v>8799</v>
      </c>
      <c r="R1822" s="17">
        <v>46</v>
      </c>
      <c r="S1822" s="18">
        <v>5464.1789999999992</v>
      </c>
      <c r="T1822" s="19" t="s">
        <v>36</v>
      </c>
      <c r="U1822" s="20" t="s">
        <v>126</v>
      </c>
      <c r="V1822" s="21" t="s">
        <v>127</v>
      </c>
      <c r="W1822" s="22">
        <v>1</v>
      </c>
      <c r="X1822" s="23"/>
    </row>
    <row r="1823" spans="1:24" s="1" customFormat="1" ht="35.1" customHeight="1" x14ac:dyDescent="0.3">
      <c r="A1823" s="24" t="s">
        <v>23</v>
      </c>
      <c r="B1823" s="24" t="s">
        <v>2135</v>
      </c>
      <c r="C1823" s="12" t="s">
        <v>2136</v>
      </c>
      <c r="D1823" s="54"/>
      <c r="E1823" s="39" t="str">
        <f>HYPERLINK("https://www.google.ru/search?q=6004082-410&amp;newwindow=1&amp;tbm=isch","Еще фото")</f>
        <v>Еще фото</v>
      </c>
      <c r="F1823" s="13"/>
      <c r="G1823" s="24" t="s">
        <v>2137</v>
      </c>
      <c r="H1823" s="24" t="s">
        <v>27</v>
      </c>
      <c r="I1823" s="24" t="s">
        <v>2138</v>
      </c>
      <c r="J1823" s="14" t="s">
        <v>506</v>
      </c>
      <c r="K1823" s="15" t="s">
        <v>54</v>
      </c>
      <c r="L1823" s="57"/>
      <c r="M1823" s="14"/>
      <c r="N1823" s="14" t="s">
        <v>91</v>
      </c>
      <c r="O1823" s="14"/>
      <c r="P1823" s="15" t="s">
        <v>133</v>
      </c>
      <c r="Q1823" s="16">
        <v>8799</v>
      </c>
      <c r="R1823" s="17">
        <v>46</v>
      </c>
      <c r="S1823" s="18">
        <v>5464.1789999999992</v>
      </c>
      <c r="T1823" s="19" t="s">
        <v>36</v>
      </c>
      <c r="U1823" s="20" t="s">
        <v>128</v>
      </c>
      <c r="V1823" s="21" t="s">
        <v>129</v>
      </c>
      <c r="W1823" s="22">
        <v>1</v>
      </c>
      <c r="X1823" s="23"/>
    </row>
    <row r="1824" spans="1:24" s="1" customFormat="1" ht="36.950000000000003" customHeight="1" x14ac:dyDescent="0.3">
      <c r="A1824" s="24" t="s">
        <v>23</v>
      </c>
      <c r="B1824" s="24" t="s">
        <v>2135</v>
      </c>
      <c r="C1824" s="12" t="s">
        <v>2136</v>
      </c>
      <c r="D1824" s="55"/>
      <c r="E1824" s="39" t="str">
        <f>HYPERLINK("https://www.google.ru/search?q=6004082-410&amp;newwindow=1&amp;tbm=isch","Еще фото")</f>
        <v>Еще фото</v>
      </c>
      <c r="F1824" s="13"/>
      <c r="G1824" s="24" t="s">
        <v>2137</v>
      </c>
      <c r="H1824" s="24" t="s">
        <v>27</v>
      </c>
      <c r="I1824" s="24" t="s">
        <v>2138</v>
      </c>
      <c r="J1824" s="14" t="s">
        <v>506</v>
      </c>
      <c r="K1824" s="15" t="s">
        <v>54</v>
      </c>
      <c r="L1824" s="58"/>
      <c r="M1824" s="14"/>
      <c r="N1824" s="14" t="s">
        <v>91</v>
      </c>
      <c r="O1824" s="14"/>
      <c r="P1824" s="15" t="s">
        <v>133</v>
      </c>
      <c r="Q1824" s="16">
        <v>8799</v>
      </c>
      <c r="R1824" s="17">
        <v>46</v>
      </c>
      <c r="S1824" s="18">
        <v>5464.1789999999992</v>
      </c>
      <c r="T1824" s="19" t="s">
        <v>36</v>
      </c>
      <c r="U1824" s="20" t="s">
        <v>59</v>
      </c>
      <c r="V1824" s="21" t="s">
        <v>60</v>
      </c>
      <c r="W1824" s="22">
        <v>9</v>
      </c>
      <c r="X1824" s="23"/>
    </row>
    <row r="1825" spans="1:24" s="1" customFormat="1" ht="108" customHeight="1" x14ac:dyDescent="0.3">
      <c r="A1825" s="11" t="s">
        <v>23</v>
      </c>
      <c r="B1825" s="11" t="s">
        <v>2140</v>
      </c>
      <c r="C1825" s="12" t="s">
        <v>2141</v>
      </c>
      <c r="D1825" s="25"/>
      <c r="E1825" s="39" t="str">
        <f>HYPERLINK("https://www.google.ru/search?q=1357139-408&amp;newwindow=1&amp;tbm=isch","Еще фото")</f>
        <v>Еще фото</v>
      </c>
      <c r="F1825" s="13"/>
      <c r="G1825" s="11" t="s">
        <v>2137</v>
      </c>
      <c r="H1825" s="11" t="s">
        <v>27</v>
      </c>
      <c r="I1825" s="14" t="s">
        <v>2138</v>
      </c>
      <c r="J1825" s="14" t="s">
        <v>29</v>
      </c>
      <c r="K1825" s="15" t="s">
        <v>30</v>
      </c>
      <c r="L1825" s="14" t="s">
        <v>2142</v>
      </c>
      <c r="M1825" s="14" t="s">
        <v>49</v>
      </c>
      <c r="N1825" s="14" t="s">
        <v>91</v>
      </c>
      <c r="O1825" s="14"/>
      <c r="P1825" s="15" t="s">
        <v>51</v>
      </c>
      <c r="Q1825" s="16">
        <v>9999</v>
      </c>
      <c r="R1825" s="17">
        <v>45.99</v>
      </c>
      <c r="S1825" s="18">
        <v>6209.9884999999995</v>
      </c>
      <c r="T1825" s="19" t="s">
        <v>36</v>
      </c>
      <c r="U1825" s="20" t="s">
        <v>37</v>
      </c>
      <c r="V1825" s="21" t="s">
        <v>38</v>
      </c>
      <c r="W1825" s="22">
        <v>5</v>
      </c>
      <c r="X1825" s="23"/>
    </row>
    <row r="1826" spans="1:24" s="1" customFormat="1" ht="51.95" customHeight="1" x14ac:dyDescent="0.3">
      <c r="A1826" s="11" t="s">
        <v>23</v>
      </c>
      <c r="B1826" s="11" t="s">
        <v>2143</v>
      </c>
      <c r="C1826" s="12" t="s">
        <v>2144</v>
      </c>
      <c r="D1826" s="59"/>
      <c r="E1826" s="39" t="str">
        <f>HYPERLINK("https://www.google.ru/search?q=1357139-001&amp;newwindow=1&amp;tbm=isch","Еще фото")</f>
        <v>Еще фото</v>
      </c>
      <c r="F1826" s="13" t="s">
        <v>310</v>
      </c>
      <c r="G1826" s="11" t="s">
        <v>2137</v>
      </c>
      <c r="H1826" s="11" t="s">
        <v>27</v>
      </c>
      <c r="I1826" s="14" t="s">
        <v>2138</v>
      </c>
      <c r="J1826" s="14" t="s">
        <v>29</v>
      </c>
      <c r="K1826" s="15" t="s">
        <v>30</v>
      </c>
      <c r="L1826" s="56" t="s">
        <v>2145</v>
      </c>
      <c r="M1826" s="14" t="s">
        <v>49</v>
      </c>
      <c r="N1826" s="14" t="s">
        <v>33</v>
      </c>
      <c r="O1826" s="14" t="s">
        <v>34</v>
      </c>
      <c r="P1826" s="15" t="s">
        <v>133</v>
      </c>
      <c r="Q1826" s="16">
        <v>7899</v>
      </c>
      <c r="R1826" s="17">
        <v>40</v>
      </c>
      <c r="S1826" s="18">
        <v>5450.3099999999995</v>
      </c>
      <c r="T1826" s="19" t="s">
        <v>36</v>
      </c>
      <c r="U1826" s="20" t="s">
        <v>37</v>
      </c>
      <c r="V1826" s="21" t="s">
        <v>38</v>
      </c>
      <c r="W1826" s="22">
        <v>56</v>
      </c>
      <c r="X1826" s="23"/>
    </row>
    <row r="1827" spans="1:24" s="1" customFormat="1" ht="60.95" customHeight="1" x14ac:dyDescent="0.3">
      <c r="A1827" s="24" t="s">
        <v>23</v>
      </c>
      <c r="B1827" s="24" t="s">
        <v>2143</v>
      </c>
      <c r="C1827" s="12" t="s">
        <v>2144</v>
      </c>
      <c r="D1827" s="60"/>
      <c r="E1827" s="39" t="str">
        <f>HYPERLINK("https://www.google.ru/search?q=1357139-001&amp;newwindow=1&amp;tbm=isch","Еще фото")</f>
        <v>Еще фото</v>
      </c>
      <c r="F1827" s="13" t="s">
        <v>310</v>
      </c>
      <c r="G1827" s="24" t="s">
        <v>2137</v>
      </c>
      <c r="H1827" s="24" t="s">
        <v>27</v>
      </c>
      <c r="I1827" s="24" t="s">
        <v>2138</v>
      </c>
      <c r="J1827" s="14" t="s">
        <v>29</v>
      </c>
      <c r="K1827" s="15" t="s">
        <v>30</v>
      </c>
      <c r="L1827" s="58"/>
      <c r="M1827" s="14" t="s">
        <v>49</v>
      </c>
      <c r="N1827" s="14" t="s">
        <v>33</v>
      </c>
      <c r="O1827" s="14" t="s">
        <v>34</v>
      </c>
      <c r="P1827" s="15" t="s">
        <v>133</v>
      </c>
      <c r="Q1827" s="16">
        <v>7899</v>
      </c>
      <c r="R1827" s="17">
        <v>40</v>
      </c>
      <c r="S1827" s="18">
        <v>5450.3099999999995</v>
      </c>
      <c r="T1827" s="19" t="s">
        <v>36</v>
      </c>
      <c r="U1827" s="20" t="s">
        <v>39</v>
      </c>
      <c r="V1827" s="21" t="s">
        <v>40</v>
      </c>
      <c r="W1827" s="22">
        <v>1</v>
      </c>
      <c r="X1827" s="23"/>
    </row>
    <row r="1828" spans="1:24" s="1" customFormat="1" ht="51.95" customHeight="1" x14ac:dyDescent="0.3">
      <c r="A1828" s="11" t="s">
        <v>23</v>
      </c>
      <c r="B1828" s="11" t="s">
        <v>2140</v>
      </c>
      <c r="C1828" s="12" t="s">
        <v>2146</v>
      </c>
      <c r="D1828" s="59"/>
      <c r="E1828" s="39" t="str">
        <f>HYPERLINK("https://www.google.ru/search?q=1357139-025&amp;newwindow=1&amp;tbm=isch","Еще фото")</f>
        <v>Еще фото</v>
      </c>
      <c r="F1828" s="13" t="s">
        <v>98</v>
      </c>
      <c r="G1828" s="11" t="s">
        <v>2137</v>
      </c>
      <c r="H1828" s="11" t="s">
        <v>27</v>
      </c>
      <c r="I1828" s="14" t="s">
        <v>2138</v>
      </c>
      <c r="J1828" s="14" t="s">
        <v>29</v>
      </c>
      <c r="K1828" s="15" t="s">
        <v>30</v>
      </c>
      <c r="L1828" s="56" t="s">
        <v>2142</v>
      </c>
      <c r="M1828" s="14" t="s">
        <v>49</v>
      </c>
      <c r="N1828" s="14" t="s">
        <v>84</v>
      </c>
      <c r="O1828" s="14"/>
      <c r="P1828" s="15" t="s">
        <v>133</v>
      </c>
      <c r="Q1828" s="16">
        <v>7899</v>
      </c>
      <c r="R1828" s="17">
        <v>40</v>
      </c>
      <c r="S1828" s="18">
        <v>5450.3099999999995</v>
      </c>
      <c r="T1828" s="19" t="s">
        <v>36</v>
      </c>
      <c r="U1828" s="20" t="s">
        <v>37</v>
      </c>
      <c r="V1828" s="21" t="s">
        <v>38</v>
      </c>
      <c r="W1828" s="22">
        <v>19</v>
      </c>
      <c r="X1828" s="23"/>
    </row>
    <row r="1829" spans="1:24" s="1" customFormat="1" ht="60.95" customHeight="1" x14ac:dyDescent="0.3">
      <c r="A1829" s="24" t="s">
        <v>23</v>
      </c>
      <c r="B1829" s="24" t="s">
        <v>2140</v>
      </c>
      <c r="C1829" s="12" t="s">
        <v>2146</v>
      </c>
      <c r="D1829" s="60"/>
      <c r="E1829" s="39" t="str">
        <f>HYPERLINK("https://www.google.ru/search?q=1357139-025&amp;newwindow=1&amp;tbm=isch","Еще фото")</f>
        <v>Еще фото</v>
      </c>
      <c r="F1829" s="13" t="s">
        <v>98</v>
      </c>
      <c r="G1829" s="24" t="s">
        <v>2137</v>
      </c>
      <c r="H1829" s="24" t="s">
        <v>27</v>
      </c>
      <c r="I1829" s="24" t="s">
        <v>2138</v>
      </c>
      <c r="J1829" s="14" t="s">
        <v>29</v>
      </c>
      <c r="K1829" s="15" t="s">
        <v>30</v>
      </c>
      <c r="L1829" s="58"/>
      <c r="M1829" s="14" t="s">
        <v>49</v>
      </c>
      <c r="N1829" s="14" t="s">
        <v>84</v>
      </c>
      <c r="O1829" s="14"/>
      <c r="P1829" s="15" t="s">
        <v>133</v>
      </c>
      <c r="Q1829" s="16">
        <v>7899</v>
      </c>
      <c r="R1829" s="17">
        <v>40</v>
      </c>
      <c r="S1829" s="18">
        <v>5450.3099999999995</v>
      </c>
      <c r="T1829" s="19" t="s">
        <v>36</v>
      </c>
      <c r="U1829" s="20" t="s">
        <v>39</v>
      </c>
      <c r="V1829" s="21" t="s">
        <v>40</v>
      </c>
      <c r="W1829" s="22">
        <v>5</v>
      </c>
      <c r="X1829" s="23"/>
    </row>
    <row r="1830" spans="1:24" s="1" customFormat="1" ht="108" customHeight="1" x14ac:dyDescent="0.3">
      <c r="A1830" s="11" t="s">
        <v>23</v>
      </c>
      <c r="B1830" s="11" t="s">
        <v>2140</v>
      </c>
      <c r="C1830" s="12" t="s">
        <v>2147</v>
      </c>
      <c r="D1830" s="25"/>
      <c r="E1830" s="39" t="str">
        <f>HYPERLINK("https://www.google.ru/search?q=1357139-390&amp;newwindow=1&amp;tbm=isch","Еще фото")</f>
        <v>Еще фото</v>
      </c>
      <c r="F1830" s="13" t="s">
        <v>98</v>
      </c>
      <c r="G1830" s="11" t="s">
        <v>2137</v>
      </c>
      <c r="H1830" s="11" t="s">
        <v>27</v>
      </c>
      <c r="I1830" s="14" t="s">
        <v>2138</v>
      </c>
      <c r="J1830" s="14" t="s">
        <v>29</v>
      </c>
      <c r="K1830" s="15" t="s">
        <v>30</v>
      </c>
      <c r="L1830" s="14" t="s">
        <v>2145</v>
      </c>
      <c r="M1830" s="14"/>
      <c r="N1830" s="14" t="s">
        <v>125</v>
      </c>
      <c r="O1830" s="14"/>
      <c r="P1830" s="15" t="s">
        <v>133</v>
      </c>
      <c r="Q1830" s="16">
        <v>7899</v>
      </c>
      <c r="R1830" s="17">
        <v>40</v>
      </c>
      <c r="S1830" s="18">
        <v>5450.3099999999995</v>
      </c>
      <c r="T1830" s="19" t="s">
        <v>36</v>
      </c>
      <c r="U1830" s="20" t="s">
        <v>39</v>
      </c>
      <c r="V1830" s="21" t="s">
        <v>40</v>
      </c>
      <c r="W1830" s="22">
        <v>1</v>
      </c>
      <c r="X1830" s="23"/>
    </row>
    <row r="1831" spans="1:24" s="1" customFormat="1" ht="51.95" customHeight="1" x14ac:dyDescent="0.3">
      <c r="A1831" s="11" t="s">
        <v>23</v>
      </c>
      <c r="B1831" s="11" t="s">
        <v>2140</v>
      </c>
      <c r="C1831" s="12" t="s">
        <v>2148</v>
      </c>
      <c r="D1831" s="59"/>
      <c r="E1831" s="39" t="str">
        <f>HYPERLINK("https://www.google.ru/search?q=1363290-001&amp;newwindow=1&amp;tbm=isch","Еще фото")</f>
        <v>Еще фото</v>
      </c>
      <c r="F1831" s="13"/>
      <c r="G1831" s="11" t="s">
        <v>2137</v>
      </c>
      <c r="H1831" s="11" t="s">
        <v>27</v>
      </c>
      <c r="I1831" s="14" t="s">
        <v>2138</v>
      </c>
      <c r="J1831" s="14" t="s">
        <v>29</v>
      </c>
      <c r="K1831" s="15" t="s">
        <v>54</v>
      </c>
      <c r="L1831" s="56" t="s">
        <v>2149</v>
      </c>
      <c r="M1831" s="14" t="s">
        <v>49</v>
      </c>
      <c r="N1831" s="14" t="s">
        <v>33</v>
      </c>
      <c r="O1831" s="14" t="s">
        <v>34</v>
      </c>
      <c r="P1831" s="15" t="s">
        <v>133</v>
      </c>
      <c r="Q1831" s="16">
        <v>6599</v>
      </c>
      <c r="R1831" s="17">
        <v>40</v>
      </c>
      <c r="S1831" s="18">
        <v>4553.3099999999995</v>
      </c>
      <c r="T1831" s="19" t="s">
        <v>36</v>
      </c>
      <c r="U1831" s="20" t="s">
        <v>59</v>
      </c>
      <c r="V1831" s="21" t="s">
        <v>60</v>
      </c>
      <c r="W1831" s="22">
        <v>1</v>
      </c>
      <c r="X1831" s="23"/>
    </row>
    <row r="1832" spans="1:24" s="1" customFormat="1" ht="60.95" customHeight="1" x14ac:dyDescent="0.3">
      <c r="A1832" s="24" t="s">
        <v>23</v>
      </c>
      <c r="B1832" s="24" t="s">
        <v>2140</v>
      </c>
      <c r="C1832" s="12" t="s">
        <v>2148</v>
      </c>
      <c r="D1832" s="60"/>
      <c r="E1832" s="39" t="str">
        <f>HYPERLINK("https://www.google.ru/search?q=1363290-001&amp;newwindow=1&amp;tbm=isch","Еще фото")</f>
        <v>Еще фото</v>
      </c>
      <c r="F1832" s="13"/>
      <c r="G1832" s="24" t="s">
        <v>2137</v>
      </c>
      <c r="H1832" s="24" t="s">
        <v>27</v>
      </c>
      <c r="I1832" s="24" t="s">
        <v>2138</v>
      </c>
      <c r="J1832" s="14" t="s">
        <v>29</v>
      </c>
      <c r="K1832" s="15" t="s">
        <v>54</v>
      </c>
      <c r="L1832" s="58"/>
      <c r="M1832" s="14" t="s">
        <v>49</v>
      </c>
      <c r="N1832" s="14" t="s">
        <v>33</v>
      </c>
      <c r="O1832" s="14" t="s">
        <v>34</v>
      </c>
      <c r="P1832" s="15" t="s">
        <v>133</v>
      </c>
      <c r="Q1832" s="16">
        <v>6599</v>
      </c>
      <c r="R1832" s="17">
        <v>40</v>
      </c>
      <c r="S1832" s="18">
        <v>4553.3099999999995</v>
      </c>
      <c r="T1832" s="19" t="s">
        <v>36</v>
      </c>
      <c r="U1832" s="20" t="s">
        <v>130</v>
      </c>
      <c r="V1832" s="21" t="s">
        <v>131</v>
      </c>
      <c r="W1832" s="22">
        <v>1</v>
      </c>
      <c r="X1832" s="23"/>
    </row>
    <row r="1833" spans="1:24" s="1" customFormat="1" ht="108" customHeight="1" x14ac:dyDescent="0.3">
      <c r="A1833" s="11" t="s">
        <v>23</v>
      </c>
      <c r="B1833" s="11" t="s">
        <v>2140</v>
      </c>
      <c r="C1833" s="12" t="s">
        <v>2150</v>
      </c>
      <c r="D1833" s="25"/>
      <c r="E1833" s="39" t="str">
        <f>HYPERLINK("https://www.google.ru/search?q=1363290-012&amp;newwindow=1&amp;tbm=isch","Еще фото")</f>
        <v>Еще фото</v>
      </c>
      <c r="F1833" s="13"/>
      <c r="G1833" s="11" t="s">
        <v>2137</v>
      </c>
      <c r="H1833" s="11" t="s">
        <v>27</v>
      </c>
      <c r="I1833" s="14" t="s">
        <v>2138</v>
      </c>
      <c r="J1833" s="14" t="s">
        <v>29</v>
      </c>
      <c r="K1833" s="15" t="s">
        <v>54</v>
      </c>
      <c r="L1833" s="14" t="s">
        <v>2149</v>
      </c>
      <c r="M1833" s="14"/>
      <c r="N1833" s="14" t="s">
        <v>84</v>
      </c>
      <c r="O1833" s="14"/>
      <c r="P1833" s="15" t="s">
        <v>51</v>
      </c>
      <c r="Q1833" s="16">
        <v>6599</v>
      </c>
      <c r="R1833" s="17">
        <v>40</v>
      </c>
      <c r="S1833" s="18">
        <v>4553.3099999999995</v>
      </c>
      <c r="T1833" s="19" t="s">
        <v>36</v>
      </c>
      <c r="U1833" s="20" t="s">
        <v>130</v>
      </c>
      <c r="V1833" s="21" t="s">
        <v>131</v>
      </c>
      <c r="W1833" s="22">
        <v>1</v>
      </c>
      <c r="X1833" s="23"/>
    </row>
    <row r="1834" spans="1:24" s="1" customFormat="1" ht="108" customHeight="1" x14ac:dyDescent="0.3">
      <c r="A1834" s="11" t="s">
        <v>23</v>
      </c>
      <c r="B1834" s="11" t="s">
        <v>2151</v>
      </c>
      <c r="C1834" s="12" t="s">
        <v>2152</v>
      </c>
      <c r="D1834" s="25"/>
      <c r="E1834" s="39" t="str">
        <f>HYPERLINK("https://www.google.ru/search?q=1363290-410&amp;newwindow=1&amp;tbm=isch","Еще фото")</f>
        <v>Еще фото</v>
      </c>
      <c r="F1834" s="13"/>
      <c r="G1834" s="11" t="s">
        <v>2137</v>
      </c>
      <c r="H1834" s="11" t="s">
        <v>27</v>
      </c>
      <c r="I1834" s="14" t="s">
        <v>2138</v>
      </c>
      <c r="J1834" s="14" t="s">
        <v>47</v>
      </c>
      <c r="K1834" s="15" t="s">
        <v>54</v>
      </c>
      <c r="L1834" s="14"/>
      <c r="M1834" s="14"/>
      <c r="N1834" s="14" t="s">
        <v>91</v>
      </c>
      <c r="O1834" s="14"/>
      <c r="P1834" s="15" t="s">
        <v>133</v>
      </c>
      <c r="Q1834" s="16">
        <v>6599</v>
      </c>
      <c r="R1834" s="17">
        <v>40</v>
      </c>
      <c r="S1834" s="18">
        <v>4553.3099999999995</v>
      </c>
      <c r="T1834" s="19" t="s">
        <v>36</v>
      </c>
      <c r="U1834" s="20" t="s">
        <v>128</v>
      </c>
      <c r="V1834" s="21" t="s">
        <v>129</v>
      </c>
      <c r="W1834" s="22">
        <v>2</v>
      </c>
      <c r="X1834" s="23"/>
    </row>
    <row r="1835" spans="1:24" s="1" customFormat="1" ht="108" customHeight="1" x14ac:dyDescent="0.3">
      <c r="A1835" s="11" t="s">
        <v>23</v>
      </c>
      <c r="B1835" s="11" t="s">
        <v>2153</v>
      </c>
      <c r="C1835" s="12" t="s">
        <v>2154</v>
      </c>
      <c r="D1835" s="25"/>
      <c r="E1835" s="39" t="str">
        <f>HYPERLINK("https://www.google.ru/search?q=1365147-001&amp;newwindow=1&amp;tbm=isch","Еще фото")</f>
        <v>Еще фото</v>
      </c>
      <c r="F1835" s="13" t="s">
        <v>98</v>
      </c>
      <c r="G1835" s="11" t="s">
        <v>2137</v>
      </c>
      <c r="H1835" s="11" t="s">
        <v>27</v>
      </c>
      <c r="I1835" s="14" t="s">
        <v>2138</v>
      </c>
      <c r="J1835" s="14" t="s">
        <v>29</v>
      </c>
      <c r="K1835" s="15" t="s">
        <v>64</v>
      </c>
      <c r="L1835" s="14" t="s">
        <v>2155</v>
      </c>
      <c r="M1835" s="14" t="s">
        <v>49</v>
      </c>
      <c r="N1835" s="14" t="s">
        <v>33</v>
      </c>
      <c r="O1835" s="14"/>
      <c r="P1835" s="15" t="s">
        <v>133</v>
      </c>
      <c r="Q1835" s="16">
        <v>8399</v>
      </c>
      <c r="R1835" s="17">
        <v>40</v>
      </c>
      <c r="S1835" s="18">
        <v>5795.3099999999995</v>
      </c>
      <c r="T1835" s="19" t="s">
        <v>36</v>
      </c>
      <c r="U1835" s="20" t="s">
        <v>37</v>
      </c>
      <c r="V1835" s="21" t="s">
        <v>86</v>
      </c>
      <c r="W1835" s="22">
        <v>11</v>
      </c>
      <c r="X1835" s="23"/>
    </row>
    <row r="1836" spans="1:24" s="1" customFormat="1" ht="35.1" customHeight="1" x14ac:dyDescent="0.3">
      <c r="A1836" s="11" t="s">
        <v>23</v>
      </c>
      <c r="B1836" s="11" t="s">
        <v>2153</v>
      </c>
      <c r="C1836" s="12" t="s">
        <v>2156</v>
      </c>
      <c r="D1836" s="53"/>
      <c r="E1836" s="39" t="str">
        <f>HYPERLINK("https://www.google.ru/search?q=1365147-425&amp;newwindow=1&amp;tbm=isch","Еще фото")</f>
        <v>Еще фото</v>
      </c>
      <c r="F1836" s="13"/>
      <c r="G1836" s="11" t="s">
        <v>2137</v>
      </c>
      <c r="H1836" s="11" t="s">
        <v>27</v>
      </c>
      <c r="I1836" s="14" t="s">
        <v>2138</v>
      </c>
      <c r="J1836" s="14" t="s">
        <v>47</v>
      </c>
      <c r="K1836" s="15" t="s">
        <v>64</v>
      </c>
      <c r="L1836" s="56"/>
      <c r="M1836" s="14"/>
      <c r="N1836" s="14" t="s">
        <v>50</v>
      </c>
      <c r="O1836" s="14"/>
      <c r="P1836" s="15" t="s">
        <v>51</v>
      </c>
      <c r="Q1836" s="16">
        <v>8399</v>
      </c>
      <c r="R1836" s="17">
        <v>40</v>
      </c>
      <c r="S1836" s="18">
        <v>5795.3099999999995</v>
      </c>
      <c r="T1836" s="19" t="s">
        <v>36</v>
      </c>
      <c r="U1836" s="20" t="s">
        <v>69</v>
      </c>
      <c r="V1836" s="21" t="s">
        <v>70</v>
      </c>
      <c r="W1836" s="22">
        <v>1</v>
      </c>
      <c r="X1836" s="23"/>
    </row>
    <row r="1837" spans="1:24" s="1" customFormat="1" ht="35.1" customHeight="1" x14ac:dyDescent="0.3">
      <c r="A1837" s="24" t="s">
        <v>23</v>
      </c>
      <c r="B1837" s="24" t="s">
        <v>2153</v>
      </c>
      <c r="C1837" s="12" t="s">
        <v>2156</v>
      </c>
      <c r="D1837" s="54"/>
      <c r="E1837" s="39" t="str">
        <f>HYPERLINK("https://www.google.ru/search?q=1365147-425&amp;newwindow=1&amp;tbm=isch","Еще фото")</f>
        <v>Еще фото</v>
      </c>
      <c r="F1837" s="13"/>
      <c r="G1837" s="24" t="s">
        <v>2137</v>
      </c>
      <c r="H1837" s="24" t="s">
        <v>27</v>
      </c>
      <c r="I1837" s="24" t="s">
        <v>2138</v>
      </c>
      <c r="J1837" s="14" t="s">
        <v>47</v>
      </c>
      <c r="K1837" s="15" t="s">
        <v>64</v>
      </c>
      <c r="L1837" s="57"/>
      <c r="M1837" s="14"/>
      <c r="N1837" s="14" t="s">
        <v>50</v>
      </c>
      <c r="O1837" s="14"/>
      <c r="P1837" s="15" t="s">
        <v>51</v>
      </c>
      <c r="Q1837" s="16">
        <v>8399</v>
      </c>
      <c r="R1837" s="17">
        <v>40</v>
      </c>
      <c r="S1837" s="18">
        <v>5795.3099999999995</v>
      </c>
      <c r="T1837" s="19" t="s">
        <v>36</v>
      </c>
      <c r="U1837" s="20" t="s">
        <v>37</v>
      </c>
      <c r="V1837" s="21" t="s">
        <v>86</v>
      </c>
      <c r="W1837" s="22">
        <v>3</v>
      </c>
      <c r="X1837" s="23"/>
    </row>
    <row r="1838" spans="1:24" s="1" customFormat="1" ht="36.950000000000003" customHeight="1" x14ac:dyDescent="0.3">
      <c r="A1838" s="24" t="s">
        <v>23</v>
      </c>
      <c r="B1838" s="24" t="s">
        <v>2153</v>
      </c>
      <c r="C1838" s="12" t="s">
        <v>2156</v>
      </c>
      <c r="D1838" s="55"/>
      <c r="E1838" s="39" t="str">
        <f>HYPERLINK("https://www.google.ru/search?q=1365147-425&amp;newwindow=1&amp;tbm=isch","Еще фото")</f>
        <v>Еще фото</v>
      </c>
      <c r="F1838" s="13"/>
      <c r="G1838" s="24" t="s">
        <v>2137</v>
      </c>
      <c r="H1838" s="24" t="s">
        <v>27</v>
      </c>
      <c r="I1838" s="24" t="s">
        <v>2138</v>
      </c>
      <c r="J1838" s="14" t="s">
        <v>47</v>
      </c>
      <c r="K1838" s="15" t="s">
        <v>64</v>
      </c>
      <c r="L1838" s="58"/>
      <c r="M1838" s="14"/>
      <c r="N1838" s="14" t="s">
        <v>50</v>
      </c>
      <c r="O1838" s="14"/>
      <c r="P1838" s="15" t="s">
        <v>51</v>
      </c>
      <c r="Q1838" s="16">
        <v>8399</v>
      </c>
      <c r="R1838" s="17">
        <v>40</v>
      </c>
      <c r="S1838" s="18">
        <v>5795.3099999999995</v>
      </c>
      <c r="T1838" s="19" t="s">
        <v>36</v>
      </c>
      <c r="U1838" s="20" t="s">
        <v>39</v>
      </c>
      <c r="V1838" s="21" t="s">
        <v>38</v>
      </c>
      <c r="W1838" s="22">
        <v>1</v>
      </c>
      <c r="X1838" s="23"/>
    </row>
    <row r="1839" spans="1:24" s="1" customFormat="1" ht="108" customHeight="1" x14ac:dyDescent="0.3">
      <c r="A1839" s="11" t="s">
        <v>23</v>
      </c>
      <c r="B1839" s="11" t="s">
        <v>2157</v>
      </c>
      <c r="C1839" s="12" t="s">
        <v>2158</v>
      </c>
      <c r="D1839" s="25"/>
      <c r="E1839" s="39" t="str">
        <f>HYPERLINK("https://www.google.ru/search?q=6004054-919&amp;newwindow=1&amp;tbm=isch","Еще фото")</f>
        <v>Еще фото</v>
      </c>
      <c r="F1839" s="13"/>
      <c r="G1839" s="11" t="s">
        <v>2137</v>
      </c>
      <c r="H1839" s="11" t="s">
        <v>27</v>
      </c>
      <c r="I1839" s="14" t="s">
        <v>2138</v>
      </c>
      <c r="J1839" s="14" t="s">
        <v>506</v>
      </c>
      <c r="K1839" s="15" t="s">
        <v>30</v>
      </c>
      <c r="L1839" s="14" t="s">
        <v>2159</v>
      </c>
      <c r="M1839" s="14"/>
      <c r="N1839" s="14" t="s">
        <v>125</v>
      </c>
      <c r="O1839" s="14"/>
      <c r="P1839" s="15" t="s">
        <v>100</v>
      </c>
      <c r="Q1839" s="16">
        <v>16799</v>
      </c>
      <c r="R1839" s="17">
        <v>40</v>
      </c>
      <c r="S1839" s="18">
        <v>11591.31</v>
      </c>
      <c r="T1839" s="19" t="s">
        <v>36</v>
      </c>
      <c r="U1839" s="20" t="s">
        <v>41</v>
      </c>
      <c r="V1839" s="21" t="s">
        <v>42</v>
      </c>
      <c r="W1839" s="22">
        <v>1</v>
      </c>
      <c r="X1839" s="23"/>
    </row>
    <row r="1840" spans="1:24" s="1" customFormat="1" ht="108" customHeight="1" x14ac:dyDescent="0.3">
      <c r="A1840" s="11" t="s">
        <v>23</v>
      </c>
      <c r="B1840" s="11" t="s">
        <v>2135</v>
      </c>
      <c r="C1840" s="12" t="s">
        <v>2160</v>
      </c>
      <c r="D1840" s="25"/>
      <c r="E1840" s="39" t="str">
        <f>HYPERLINK("https://www.google.ru/search?q=6004082-001&amp;newwindow=1&amp;tbm=isch","Еще фото")</f>
        <v>Еще фото</v>
      </c>
      <c r="F1840" s="13"/>
      <c r="G1840" s="11" t="s">
        <v>2137</v>
      </c>
      <c r="H1840" s="11" t="s">
        <v>27</v>
      </c>
      <c r="I1840" s="14" t="s">
        <v>2138</v>
      </c>
      <c r="J1840" s="14" t="s">
        <v>506</v>
      </c>
      <c r="K1840" s="15" t="s">
        <v>54</v>
      </c>
      <c r="L1840" s="14" t="s">
        <v>2139</v>
      </c>
      <c r="M1840" s="14"/>
      <c r="N1840" s="14" t="s">
        <v>33</v>
      </c>
      <c r="O1840" s="14"/>
      <c r="P1840" s="15" t="s">
        <v>133</v>
      </c>
      <c r="Q1840" s="16">
        <v>8799</v>
      </c>
      <c r="R1840" s="17">
        <v>40</v>
      </c>
      <c r="S1840" s="18">
        <v>6071.3099999999995</v>
      </c>
      <c r="T1840" s="19" t="s">
        <v>36</v>
      </c>
      <c r="U1840" s="20" t="s">
        <v>114</v>
      </c>
      <c r="V1840" s="21" t="s">
        <v>115</v>
      </c>
      <c r="W1840" s="22">
        <v>3</v>
      </c>
      <c r="X1840" s="23"/>
    </row>
    <row r="1841" spans="1:24" s="1" customFormat="1" ht="26.1" customHeight="1" x14ac:dyDescent="0.3">
      <c r="A1841" s="11" t="s">
        <v>23</v>
      </c>
      <c r="B1841" s="11" t="s">
        <v>2135</v>
      </c>
      <c r="C1841" s="12" t="s">
        <v>2161</v>
      </c>
      <c r="D1841" s="53"/>
      <c r="E1841" s="39" t="str">
        <f>HYPERLINK("https://www.google.ru/search?q=6004082-466&amp;newwindow=1&amp;tbm=isch","Еще фото")</f>
        <v>Еще фото</v>
      </c>
      <c r="F1841" s="13"/>
      <c r="G1841" s="11" t="s">
        <v>2137</v>
      </c>
      <c r="H1841" s="11" t="s">
        <v>27</v>
      </c>
      <c r="I1841" s="14" t="s">
        <v>2138</v>
      </c>
      <c r="J1841" s="14" t="s">
        <v>506</v>
      </c>
      <c r="K1841" s="15" t="s">
        <v>54</v>
      </c>
      <c r="L1841" s="56"/>
      <c r="M1841" s="14"/>
      <c r="N1841" s="14" t="s">
        <v>91</v>
      </c>
      <c r="O1841" s="14"/>
      <c r="P1841" s="15" t="s">
        <v>51</v>
      </c>
      <c r="Q1841" s="16">
        <v>8799</v>
      </c>
      <c r="R1841" s="17">
        <v>40</v>
      </c>
      <c r="S1841" s="18">
        <v>6071.3099999999995</v>
      </c>
      <c r="T1841" s="19" t="s">
        <v>36</v>
      </c>
      <c r="U1841" s="20" t="s">
        <v>126</v>
      </c>
      <c r="V1841" s="21" t="s">
        <v>127</v>
      </c>
      <c r="W1841" s="22">
        <v>1</v>
      </c>
      <c r="X1841" s="23"/>
    </row>
    <row r="1842" spans="1:24" s="1" customFormat="1" ht="26.1" customHeight="1" x14ac:dyDescent="0.3">
      <c r="A1842" s="24" t="s">
        <v>23</v>
      </c>
      <c r="B1842" s="24" t="s">
        <v>2135</v>
      </c>
      <c r="C1842" s="12" t="s">
        <v>2161</v>
      </c>
      <c r="D1842" s="54"/>
      <c r="E1842" s="39" t="str">
        <f>HYPERLINK("https://www.google.ru/search?q=6004082-466&amp;newwindow=1&amp;tbm=isch","Еще фото")</f>
        <v>Еще фото</v>
      </c>
      <c r="F1842" s="13"/>
      <c r="G1842" s="24" t="s">
        <v>2137</v>
      </c>
      <c r="H1842" s="24" t="s">
        <v>27</v>
      </c>
      <c r="I1842" s="24" t="s">
        <v>2138</v>
      </c>
      <c r="J1842" s="14" t="s">
        <v>506</v>
      </c>
      <c r="K1842" s="15" t="s">
        <v>54</v>
      </c>
      <c r="L1842" s="57"/>
      <c r="M1842" s="14"/>
      <c r="N1842" s="14" t="s">
        <v>91</v>
      </c>
      <c r="O1842" s="14"/>
      <c r="P1842" s="15" t="s">
        <v>51</v>
      </c>
      <c r="Q1842" s="16">
        <v>8799</v>
      </c>
      <c r="R1842" s="17">
        <v>40</v>
      </c>
      <c r="S1842" s="18">
        <v>6071.3099999999995</v>
      </c>
      <c r="T1842" s="19" t="s">
        <v>36</v>
      </c>
      <c r="U1842" s="20" t="s">
        <v>128</v>
      </c>
      <c r="V1842" s="21" t="s">
        <v>129</v>
      </c>
      <c r="W1842" s="22">
        <v>2</v>
      </c>
      <c r="X1842" s="23"/>
    </row>
    <row r="1843" spans="1:24" s="1" customFormat="1" ht="26.1" customHeight="1" x14ac:dyDescent="0.3">
      <c r="A1843" s="24" t="s">
        <v>23</v>
      </c>
      <c r="B1843" s="24" t="s">
        <v>2135</v>
      </c>
      <c r="C1843" s="12" t="s">
        <v>2161</v>
      </c>
      <c r="D1843" s="54"/>
      <c r="E1843" s="39" t="str">
        <f>HYPERLINK("https://www.google.ru/search?q=6004082-466&amp;newwindow=1&amp;tbm=isch","Еще фото")</f>
        <v>Еще фото</v>
      </c>
      <c r="F1843" s="13"/>
      <c r="G1843" s="24" t="s">
        <v>2137</v>
      </c>
      <c r="H1843" s="24" t="s">
        <v>27</v>
      </c>
      <c r="I1843" s="24" t="s">
        <v>2138</v>
      </c>
      <c r="J1843" s="14" t="s">
        <v>506</v>
      </c>
      <c r="K1843" s="15" t="s">
        <v>54</v>
      </c>
      <c r="L1843" s="57"/>
      <c r="M1843" s="14"/>
      <c r="N1843" s="14" t="s">
        <v>91</v>
      </c>
      <c r="O1843" s="14"/>
      <c r="P1843" s="15" t="s">
        <v>51</v>
      </c>
      <c r="Q1843" s="16">
        <v>8799</v>
      </c>
      <c r="R1843" s="17">
        <v>40</v>
      </c>
      <c r="S1843" s="18">
        <v>6071.3099999999995</v>
      </c>
      <c r="T1843" s="19" t="s">
        <v>36</v>
      </c>
      <c r="U1843" s="20" t="s">
        <v>59</v>
      </c>
      <c r="V1843" s="21" t="s">
        <v>60</v>
      </c>
      <c r="W1843" s="22">
        <v>2</v>
      </c>
      <c r="X1843" s="23"/>
    </row>
    <row r="1844" spans="1:24" s="1" customFormat="1" ht="26.1" customHeight="1" x14ac:dyDescent="0.3">
      <c r="A1844" s="24" t="s">
        <v>23</v>
      </c>
      <c r="B1844" s="24" t="s">
        <v>2135</v>
      </c>
      <c r="C1844" s="12" t="s">
        <v>2161</v>
      </c>
      <c r="D1844" s="55"/>
      <c r="E1844" s="39" t="str">
        <f>HYPERLINK("https://www.google.ru/search?q=6004082-466&amp;newwindow=1&amp;tbm=isch","Еще фото")</f>
        <v>Еще фото</v>
      </c>
      <c r="F1844" s="13"/>
      <c r="G1844" s="24" t="s">
        <v>2137</v>
      </c>
      <c r="H1844" s="24" t="s">
        <v>27</v>
      </c>
      <c r="I1844" s="24" t="s">
        <v>2138</v>
      </c>
      <c r="J1844" s="14" t="s">
        <v>506</v>
      </c>
      <c r="K1844" s="15" t="s">
        <v>54</v>
      </c>
      <c r="L1844" s="58"/>
      <c r="M1844" s="14"/>
      <c r="N1844" s="14" t="s">
        <v>91</v>
      </c>
      <c r="O1844" s="14"/>
      <c r="P1844" s="15" t="s">
        <v>51</v>
      </c>
      <c r="Q1844" s="16">
        <v>8799</v>
      </c>
      <c r="R1844" s="17">
        <v>40</v>
      </c>
      <c r="S1844" s="18">
        <v>6071.3099999999995</v>
      </c>
      <c r="T1844" s="19" t="s">
        <v>36</v>
      </c>
      <c r="U1844" s="20" t="s">
        <v>130</v>
      </c>
      <c r="V1844" s="21" t="s">
        <v>131</v>
      </c>
      <c r="W1844" s="22">
        <v>1</v>
      </c>
      <c r="X1844" s="23"/>
    </row>
    <row r="1845" spans="1:24" s="1" customFormat="1" ht="35.1" customHeight="1" x14ac:dyDescent="0.3">
      <c r="A1845" s="11" t="s">
        <v>23</v>
      </c>
      <c r="B1845" s="11" t="s">
        <v>225</v>
      </c>
      <c r="C1845" s="12" t="s">
        <v>2162</v>
      </c>
      <c r="D1845" s="53"/>
      <c r="E1845" s="39" t="str">
        <f>HYPERLINK("https://www.google.ru/search?q=1366060-390&amp;newwindow=1&amp;tbm=isch","Еще фото")</f>
        <v>Еще фото</v>
      </c>
      <c r="F1845" s="13"/>
      <c r="G1845" s="11" t="s">
        <v>227</v>
      </c>
      <c r="H1845" s="11" t="s">
        <v>27</v>
      </c>
      <c r="I1845" s="14" t="s">
        <v>2163</v>
      </c>
      <c r="J1845" s="14" t="s">
        <v>29</v>
      </c>
      <c r="K1845" s="15" t="s">
        <v>30</v>
      </c>
      <c r="L1845" s="56" t="s">
        <v>2164</v>
      </c>
      <c r="M1845" s="14" t="s">
        <v>229</v>
      </c>
      <c r="N1845" s="14" t="s">
        <v>640</v>
      </c>
      <c r="O1845" s="14"/>
      <c r="P1845" s="15" t="s">
        <v>230</v>
      </c>
      <c r="Q1845" s="16">
        <v>10999</v>
      </c>
      <c r="R1845" s="17">
        <v>68.930000000000007</v>
      </c>
      <c r="S1845" s="18">
        <v>3930.4354999999996</v>
      </c>
      <c r="T1845" s="19" t="s">
        <v>36</v>
      </c>
      <c r="U1845" s="20" t="s">
        <v>69</v>
      </c>
      <c r="V1845" s="21" t="s">
        <v>75</v>
      </c>
      <c r="W1845" s="22">
        <v>3</v>
      </c>
      <c r="X1845" s="23"/>
    </row>
    <row r="1846" spans="1:24" s="1" customFormat="1" ht="35.1" customHeight="1" x14ac:dyDescent="0.3">
      <c r="A1846" s="24" t="s">
        <v>23</v>
      </c>
      <c r="B1846" s="24" t="s">
        <v>225</v>
      </c>
      <c r="C1846" s="12" t="s">
        <v>2162</v>
      </c>
      <c r="D1846" s="54"/>
      <c r="E1846" s="39" t="str">
        <f>HYPERLINK("https://www.google.ru/search?q=1366060-390&amp;newwindow=1&amp;tbm=isch","Еще фото")</f>
        <v>Еще фото</v>
      </c>
      <c r="F1846" s="13"/>
      <c r="G1846" s="24" t="s">
        <v>227</v>
      </c>
      <c r="H1846" s="24" t="s">
        <v>27</v>
      </c>
      <c r="I1846" s="24" t="s">
        <v>2163</v>
      </c>
      <c r="J1846" s="14" t="s">
        <v>29</v>
      </c>
      <c r="K1846" s="15" t="s">
        <v>30</v>
      </c>
      <c r="L1846" s="57"/>
      <c r="M1846" s="14" t="s">
        <v>229</v>
      </c>
      <c r="N1846" s="14" t="s">
        <v>640</v>
      </c>
      <c r="O1846" s="14"/>
      <c r="P1846" s="15" t="s">
        <v>230</v>
      </c>
      <c r="Q1846" s="16">
        <v>10999</v>
      </c>
      <c r="R1846" s="17">
        <v>68.930000000000007</v>
      </c>
      <c r="S1846" s="18">
        <v>3930.4354999999996</v>
      </c>
      <c r="T1846" s="19" t="s">
        <v>36</v>
      </c>
      <c r="U1846" s="20" t="s">
        <v>37</v>
      </c>
      <c r="V1846" s="21" t="s">
        <v>38</v>
      </c>
      <c r="W1846" s="22">
        <v>3</v>
      </c>
      <c r="X1846" s="23"/>
    </row>
    <row r="1847" spans="1:24" s="1" customFormat="1" ht="36.950000000000003" customHeight="1" x14ac:dyDescent="0.3">
      <c r="A1847" s="24" t="s">
        <v>23</v>
      </c>
      <c r="B1847" s="24" t="s">
        <v>225</v>
      </c>
      <c r="C1847" s="12" t="s">
        <v>2162</v>
      </c>
      <c r="D1847" s="55"/>
      <c r="E1847" s="39" t="str">
        <f>HYPERLINK("https://www.google.ru/search?q=1366060-390&amp;newwindow=1&amp;tbm=isch","Еще фото")</f>
        <v>Еще фото</v>
      </c>
      <c r="F1847" s="13"/>
      <c r="G1847" s="24" t="s">
        <v>227</v>
      </c>
      <c r="H1847" s="24" t="s">
        <v>27</v>
      </c>
      <c r="I1847" s="24" t="s">
        <v>2163</v>
      </c>
      <c r="J1847" s="14" t="s">
        <v>29</v>
      </c>
      <c r="K1847" s="15" t="s">
        <v>30</v>
      </c>
      <c r="L1847" s="58"/>
      <c r="M1847" s="14" t="s">
        <v>229</v>
      </c>
      <c r="N1847" s="14" t="s">
        <v>640</v>
      </c>
      <c r="O1847" s="14"/>
      <c r="P1847" s="15" t="s">
        <v>230</v>
      </c>
      <c r="Q1847" s="16">
        <v>10999</v>
      </c>
      <c r="R1847" s="17">
        <v>68.930000000000007</v>
      </c>
      <c r="S1847" s="18">
        <v>3930.4354999999996</v>
      </c>
      <c r="T1847" s="19" t="s">
        <v>36</v>
      </c>
      <c r="U1847" s="20" t="s">
        <v>39</v>
      </c>
      <c r="V1847" s="21" t="s">
        <v>40</v>
      </c>
      <c r="W1847" s="22">
        <v>3</v>
      </c>
      <c r="X1847" s="23"/>
    </row>
    <row r="1848" spans="1:24" s="1" customFormat="1" ht="108" customHeight="1" x14ac:dyDescent="0.3">
      <c r="A1848" s="11" t="s">
        <v>23</v>
      </c>
      <c r="B1848" s="11" t="s">
        <v>2165</v>
      </c>
      <c r="C1848" s="12" t="s">
        <v>2166</v>
      </c>
      <c r="D1848" s="25"/>
      <c r="E1848" s="39" t="str">
        <f>HYPERLINK("https://www.google.ru/search?q=1366200-413&amp;newwindow=1&amp;tbm=isch","Еще фото")</f>
        <v>Еще фото</v>
      </c>
      <c r="F1848" s="13"/>
      <c r="G1848" s="11" t="s">
        <v>2167</v>
      </c>
      <c r="H1848" s="11" t="s">
        <v>27</v>
      </c>
      <c r="I1848" s="14" t="s">
        <v>2163</v>
      </c>
      <c r="J1848" s="14" t="s">
        <v>29</v>
      </c>
      <c r="K1848" s="15" t="s">
        <v>30</v>
      </c>
      <c r="L1848" s="14" t="s">
        <v>2168</v>
      </c>
      <c r="M1848" s="14" t="s">
        <v>2169</v>
      </c>
      <c r="N1848" s="14" t="s">
        <v>91</v>
      </c>
      <c r="O1848" s="14" t="s">
        <v>671</v>
      </c>
      <c r="P1848" s="15" t="s">
        <v>51</v>
      </c>
      <c r="Q1848" s="16">
        <v>7599</v>
      </c>
      <c r="R1848" s="17">
        <v>53.18</v>
      </c>
      <c r="S1848" s="18">
        <v>4091.4354999999996</v>
      </c>
      <c r="T1848" s="19" t="s">
        <v>36</v>
      </c>
      <c r="U1848" s="20" t="s">
        <v>37</v>
      </c>
      <c r="V1848" s="21" t="s">
        <v>38</v>
      </c>
      <c r="W1848" s="22">
        <v>7</v>
      </c>
      <c r="X1848" s="23"/>
    </row>
    <row r="1849" spans="1:24" s="1" customFormat="1" ht="108" customHeight="1" x14ac:dyDescent="0.3">
      <c r="A1849" s="11" t="s">
        <v>23</v>
      </c>
      <c r="B1849" s="11" t="s">
        <v>2170</v>
      </c>
      <c r="C1849" s="12" t="s">
        <v>2171</v>
      </c>
      <c r="D1849" s="25"/>
      <c r="E1849" s="39" t="str">
        <f>HYPERLINK("https://www.google.ru/search?q=1379821-400&amp;newwindow=1&amp;tbm=isch","Еще фото")</f>
        <v>Еще фото</v>
      </c>
      <c r="F1849" s="13"/>
      <c r="G1849" s="11" t="s">
        <v>227</v>
      </c>
      <c r="H1849" s="11" t="s">
        <v>27</v>
      </c>
      <c r="I1849" s="14" t="s">
        <v>2163</v>
      </c>
      <c r="J1849" s="14" t="s">
        <v>29</v>
      </c>
      <c r="K1849" s="15" t="s">
        <v>30</v>
      </c>
      <c r="L1849" s="14" t="s">
        <v>2172</v>
      </c>
      <c r="M1849" s="14" t="s">
        <v>2173</v>
      </c>
      <c r="N1849" s="14" t="s">
        <v>377</v>
      </c>
      <c r="O1849" s="14"/>
      <c r="P1849" s="15" t="s">
        <v>779</v>
      </c>
      <c r="Q1849" s="16">
        <v>8299</v>
      </c>
      <c r="R1849" s="17">
        <v>49.54</v>
      </c>
      <c r="S1849" s="18">
        <v>4815.9355000000005</v>
      </c>
      <c r="T1849" s="19" t="s">
        <v>36</v>
      </c>
      <c r="U1849" s="20" t="s">
        <v>69</v>
      </c>
      <c r="V1849" s="21" t="s">
        <v>75</v>
      </c>
      <c r="W1849" s="22">
        <v>1</v>
      </c>
      <c r="X1849" s="23"/>
    </row>
    <row r="1850" spans="1:24" s="1" customFormat="1" ht="108" customHeight="1" x14ac:dyDescent="0.3">
      <c r="A1850" s="11" t="s">
        <v>23</v>
      </c>
      <c r="B1850" s="11" t="s">
        <v>2174</v>
      </c>
      <c r="C1850" s="12" t="s">
        <v>2175</v>
      </c>
      <c r="D1850" s="25"/>
      <c r="E1850" s="39" t="str">
        <f>HYPERLINK("https://www.google.ru/search?q=1366075-001&amp;newwindow=1&amp;tbm=isch","Еще фото")</f>
        <v>Еще фото</v>
      </c>
      <c r="F1850" s="13" t="s">
        <v>98</v>
      </c>
      <c r="G1850" s="11" t="s">
        <v>227</v>
      </c>
      <c r="H1850" s="11" t="s">
        <v>27</v>
      </c>
      <c r="I1850" s="14" t="s">
        <v>2163</v>
      </c>
      <c r="J1850" s="14" t="s">
        <v>29</v>
      </c>
      <c r="K1850" s="15" t="s">
        <v>30</v>
      </c>
      <c r="L1850" s="14" t="s">
        <v>2176</v>
      </c>
      <c r="M1850" s="14" t="s">
        <v>2173</v>
      </c>
      <c r="N1850" s="14" t="s">
        <v>33</v>
      </c>
      <c r="O1850" s="14"/>
      <c r="P1850" s="15" t="s">
        <v>279</v>
      </c>
      <c r="Q1850" s="16">
        <v>4099</v>
      </c>
      <c r="R1850" s="17">
        <v>46.33</v>
      </c>
      <c r="S1850" s="18">
        <v>2529.9884999999995</v>
      </c>
      <c r="T1850" s="19" t="s">
        <v>36</v>
      </c>
      <c r="U1850" s="20" t="s">
        <v>37</v>
      </c>
      <c r="V1850" s="21" t="s">
        <v>38</v>
      </c>
      <c r="W1850" s="22">
        <v>5</v>
      </c>
      <c r="X1850" s="23"/>
    </row>
    <row r="1851" spans="1:24" s="1" customFormat="1" ht="108" customHeight="1" x14ac:dyDescent="0.3">
      <c r="A1851" s="11" t="s">
        <v>23</v>
      </c>
      <c r="B1851" s="11" t="s">
        <v>2174</v>
      </c>
      <c r="C1851" s="12" t="s">
        <v>2177</v>
      </c>
      <c r="D1851" s="25"/>
      <c r="E1851" s="39" t="str">
        <f>HYPERLINK("https://www.google.ru/search?q=1366075-410&amp;newwindow=1&amp;tbm=isch","Еще фото")</f>
        <v>Еще фото</v>
      </c>
      <c r="F1851" s="13"/>
      <c r="G1851" s="11" t="s">
        <v>227</v>
      </c>
      <c r="H1851" s="11" t="s">
        <v>27</v>
      </c>
      <c r="I1851" s="14" t="s">
        <v>2163</v>
      </c>
      <c r="J1851" s="14" t="s">
        <v>29</v>
      </c>
      <c r="K1851" s="15" t="s">
        <v>30</v>
      </c>
      <c r="L1851" s="14" t="s">
        <v>2178</v>
      </c>
      <c r="M1851" s="14" t="s">
        <v>2173</v>
      </c>
      <c r="N1851" s="14" t="s">
        <v>91</v>
      </c>
      <c r="O1851" s="14"/>
      <c r="P1851" s="15" t="s">
        <v>279</v>
      </c>
      <c r="Q1851" s="16">
        <v>7899</v>
      </c>
      <c r="R1851" s="17">
        <v>45.56</v>
      </c>
      <c r="S1851" s="18">
        <v>4944.9884999999995</v>
      </c>
      <c r="T1851" s="19" t="s">
        <v>36</v>
      </c>
      <c r="U1851" s="20" t="s">
        <v>37</v>
      </c>
      <c r="V1851" s="21" t="s">
        <v>38</v>
      </c>
      <c r="W1851" s="22">
        <v>2</v>
      </c>
      <c r="X1851" s="23"/>
    </row>
    <row r="1852" spans="1:24" s="1" customFormat="1" ht="108" customHeight="1" x14ac:dyDescent="0.3">
      <c r="A1852" s="11" t="s">
        <v>23</v>
      </c>
      <c r="B1852" s="11" t="s">
        <v>2179</v>
      </c>
      <c r="C1852" s="12" t="s">
        <v>2180</v>
      </c>
      <c r="D1852" s="25"/>
      <c r="E1852" s="39" t="str">
        <f>HYPERLINK("https://www.google.ru/search?q=1366066-001&amp;newwindow=1&amp;tbm=isch","Еще фото")</f>
        <v>Еще фото</v>
      </c>
      <c r="F1852" s="13" t="s">
        <v>98</v>
      </c>
      <c r="G1852" s="11" t="s">
        <v>2167</v>
      </c>
      <c r="H1852" s="11" t="s">
        <v>27</v>
      </c>
      <c r="I1852" s="14" t="s">
        <v>2163</v>
      </c>
      <c r="J1852" s="14" t="s">
        <v>29</v>
      </c>
      <c r="K1852" s="15" t="s">
        <v>30</v>
      </c>
      <c r="L1852" s="14" t="s">
        <v>2181</v>
      </c>
      <c r="M1852" s="14" t="s">
        <v>2173</v>
      </c>
      <c r="N1852" s="14" t="s">
        <v>33</v>
      </c>
      <c r="O1852" s="14"/>
      <c r="P1852" s="15" t="s">
        <v>279</v>
      </c>
      <c r="Q1852" s="16">
        <v>6099</v>
      </c>
      <c r="R1852" s="17">
        <v>40</v>
      </c>
      <c r="S1852" s="18">
        <v>4208.3099999999995</v>
      </c>
      <c r="T1852" s="19" t="s">
        <v>36</v>
      </c>
      <c r="U1852" s="20" t="s">
        <v>41</v>
      </c>
      <c r="V1852" s="21" t="s">
        <v>42</v>
      </c>
      <c r="W1852" s="22">
        <v>1</v>
      </c>
      <c r="X1852" s="23"/>
    </row>
    <row r="1853" spans="1:24" s="1" customFormat="1" ht="51.95" customHeight="1" x14ac:dyDescent="0.3">
      <c r="A1853" s="11" t="s">
        <v>23</v>
      </c>
      <c r="B1853" s="11" t="s">
        <v>2179</v>
      </c>
      <c r="C1853" s="12" t="s">
        <v>2182</v>
      </c>
      <c r="D1853" s="59"/>
      <c r="E1853" s="39" t="str">
        <f>HYPERLINK("https://www.google.ru/search?q=1366066-100&amp;newwindow=1&amp;tbm=isch","Еще фото")</f>
        <v>Еще фото</v>
      </c>
      <c r="F1853" s="13"/>
      <c r="G1853" s="11" t="s">
        <v>2167</v>
      </c>
      <c r="H1853" s="11" t="s">
        <v>27</v>
      </c>
      <c r="I1853" s="14" t="s">
        <v>2163</v>
      </c>
      <c r="J1853" s="14" t="s">
        <v>29</v>
      </c>
      <c r="K1853" s="15" t="s">
        <v>30</v>
      </c>
      <c r="L1853" s="56" t="s">
        <v>2181</v>
      </c>
      <c r="M1853" s="14" t="s">
        <v>2173</v>
      </c>
      <c r="N1853" s="14" t="s">
        <v>74</v>
      </c>
      <c r="O1853" s="14"/>
      <c r="P1853" s="15" t="s">
        <v>279</v>
      </c>
      <c r="Q1853" s="16">
        <v>6099</v>
      </c>
      <c r="R1853" s="17">
        <v>40</v>
      </c>
      <c r="S1853" s="18">
        <v>4208.3099999999995</v>
      </c>
      <c r="T1853" s="19" t="s">
        <v>36</v>
      </c>
      <c r="U1853" s="20" t="s">
        <v>39</v>
      </c>
      <c r="V1853" s="21" t="s">
        <v>40</v>
      </c>
      <c r="W1853" s="22">
        <v>1</v>
      </c>
      <c r="X1853" s="23"/>
    </row>
    <row r="1854" spans="1:24" s="1" customFormat="1" ht="60.95" customHeight="1" x14ac:dyDescent="0.3">
      <c r="A1854" s="24" t="s">
        <v>23</v>
      </c>
      <c r="B1854" s="24" t="s">
        <v>2179</v>
      </c>
      <c r="C1854" s="12" t="s">
        <v>2182</v>
      </c>
      <c r="D1854" s="60"/>
      <c r="E1854" s="39" t="str">
        <f>HYPERLINK("https://www.google.ru/search?q=1366066-100&amp;newwindow=1&amp;tbm=isch","Еще фото")</f>
        <v>Еще фото</v>
      </c>
      <c r="F1854" s="13"/>
      <c r="G1854" s="24" t="s">
        <v>2167</v>
      </c>
      <c r="H1854" s="24" t="s">
        <v>27</v>
      </c>
      <c r="I1854" s="24" t="s">
        <v>2163</v>
      </c>
      <c r="J1854" s="14" t="s">
        <v>29</v>
      </c>
      <c r="K1854" s="15" t="s">
        <v>30</v>
      </c>
      <c r="L1854" s="58"/>
      <c r="M1854" s="14" t="s">
        <v>2173</v>
      </c>
      <c r="N1854" s="14" t="s">
        <v>74</v>
      </c>
      <c r="O1854" s="14"/>
      <c r="P1854" s="15" t="s">
        <v>279</v>
      </c>
      <c r="Q1854" s="16">
        <v>6099</v>
      </c>
      <c r="R1854" s="17">
        <v>40</v>
      </c>
      <c r="S1854" s="18">
        <v>4208.3099999999995</v>
      </c>
      <c r="T1854" s="19" t="s">
        <v>36</v>
      </c>
      <c r="U1854" s="20" t="s">
        <v>41</v>
      </c>
      <c r="V1854" s="21" t="s">
        <v>42</v>
      </c>
      <c r="W1854" s="22">
        <v>2</v>
      </c>
      <c r="X1854" s="23"/>
    </row>
    <row r="1855" spans="1:24" s="1" customFormat="1" ht="26.1" customHeight="1" x14ac:dyDescent="0.3">
      <c r="A1855" s="11" t="s">
        <v>23</v>
      </c>
      <c r="B1855" s="11" t="s">
        <v>2183</v>
      </c>
      <c r="C1855" s="12" t="s">
        <v>2184</v>
      </c>
      <c r="D1855" s="53"/>
      <c r="E1855" s="39" t="str">
        <f>HYPERLINK("https://www.google.ru/search?q=1366068-020&amp;newwindow=1&amp;tbm=isch","Еще фото")</f>
        <v>Еще фото</v>
      </c>
      <c r="F1855" s="13"/>
      <c r="G1855" s="11" t="s">
        <v>2167</v>
      </c>
      <c r="H1855" s="11" t="s">
        <v>27</v>
      </c>
      <c r="I1855" s="14" t="s">
        <v>2163</v>
      </c>
      <c r="J1855" s="14" t="s">
        <v>29</v>
      </c>
      <c r="K1855" s="15" t="s">
        <v>30</v>
      </c>
      <c r="L1855" s="56" t="s">
        <v>2185</v>
      </c>
      <c r="M1855" s="14" t="s">
        <v>2173</v>
      </c>
      <c r="N1855" s="14" t="s">
        <v>84</v>
      </c>
      <c r="O1855" s="14"/>
      <c r="P1855" s="15" t="s">
        <v>2186</v>
      </c>
      <c r="Q1855" s="16">
        <v>7599</v>
      </c>
      <c r="R1855" s="17">
        <v>40</v>
      </c>
      <c r="S1855" s="18">
        <v>5243.3099999999995</v>
      </c>
      <c r="T1855" s="19" t="s">
        <v>36</v>
      </c>
      <c r="U1855" s="20" t="s">
        <v>69</v>
      </c>
      <c r="V1855" s="21" t="s">
        <v>75</v>
      </c>
      <c r="W1855" s="22">
        <v>1</v>
      </c>
      <c r="X1855" s="23"/>
    </row>
    <row r="1856" spans="1:24" s="1" customFormat="1" ht="26.1" customHeight="1" x14ac:dyDescent="0.3">
      <c r="A1856" s="24" t="s">
        <v>23</v>
      </c>
      <c r="B1856" s="24" t="s">
        <v>2183</v>
      </c>
      <c r="C1856" s="12" t="s">
        <v>2184</v>
      </c>
      <c r="D1856" s="54"/>
      <c r="E1856" s="39" t="str">
        <f>HYPERLINK("https://www.google.ru/search?q=1366068-020&amp;newwindow=1&amp;tbm=isch","Еще фото")</f>
        <v>Еще фото</v>
      </c>
      <c r="F1856" s="13"/>
      <c r="G1856" s="24" t="s">
        <v>2167</v>
      </c>
      <c r="H1856" s="24" t="s">
        <v>27</v>
      </c>
      <c r="I1856" s="24" t="s">
        <v>2163</v>
      </c>
      <c r="J1856" s="14" t="s">
        <v>29</v>
      </c>
      <c r="K1856" s="15" t="s">
        <v>30</v>
      </c>
      <c r="L1856" s="57"/>
      <c r="M1856" s="14" t="s">
        <v>2173</v>
      </c>
      <c r="N1856" s="14" t="s">
        <v>84</v>
      </c>
      <c r="O1856" s="14"/>
      <c r="P1856" s="15" t="s">
        <v>2186</v>
      </c>
      <c r="Q1856" s="16">
        <v>7599</v>
      </c>
      <c r="R1856" s="17">
        <v>40</v>
      </c>
      <c r="S1856" s="18">
        <v>5243.3099999999995</v>
      </c>
      <c r="T1856" s="19" t="s">
        <v>36</v>
      </c>
      <c r="U1856" s="20" t="s">
        <v>37</v>
      </c>
      <c r="V1856" s="21" t="s">
        <v>38</v>
      </c>
      <c r="W1856" s="22">
        <v>14</v>
      </c>
      <c r="X1856" s="23"/>
    </row>
    <row r="1857" spans="1:24" s="1" customFormat="1" ht="26.1" customHeight="1" x14ac:dyDescent="0.3">
      <c r="A1857" s="24" t="s">
        <v>23</v>
      </c>
      <c r="B1857" s="24" t="s">
        <v>2183</v>
      </c>
      <c r="C1857" s="12" t="s">
        <v>2184</v>
      </c>
      <c r="D1857" s="54"/>
      <c r="E1857" s="39" t="str">
        <f>HYPERLINK("https://www.google.ru/search?q=1366068-020&amp;newwindow=1&amp;tbm=isch","Еще фото")</f>
        <v>Еще фото</v>
      </c>
      <c r="F1857" s="13"/>
      <c r="G1857" s="24" t="s">
        <v>2167</v>
      </c>
      <c r="H1857" s="24" t="s">
        <v>27</v>
      </c>
      <c r="I1857" s="24" t="s">
        <v>2163</v>
      </c>
      <c r="J1857" s="14" t="s">
        <v>29</v>
      </c>
      <c r="K1857" s="15" t="s">
        <v>30</v>
      </c>
      <c r="L1857" s="57"/>
      <c r="M1857" s="14" t="s">
        <v>2173</v>
      </c>
      <c r="N1857" s="14" t="s">
        <v>84</v>
      </c>
      <c r="O1857" s="14"/>
      <c r="P1857" s="15" t="s">
        <v>2186</v>
      </c>
      <c r="Q1857" s="16">
        <v>7599</v>
      </c>
      <c r="R1857" s="17">
        <v>40</v>
      </c>
      <c r="S1857" s="18">
        <v>5243.3099999999995</v>
      </c>
      <c r="T1857" s="19" t="s">
        <v>36</v>
      </c>
      <c r="U1857" s="20" t="s">
        <v>39</v>
      </c>
      <c r="V1857" s="21" t="s">
        <v>40</v>
      </c>
      <c r="W1857" s="22">
        <v>11</v>
      </c>
      <c r="X1857" s="23"/>
    </row>
    <row r="1858" spans="1:24" s="1" customFormat="1" ht="26.1" customHeight="1" x14ac:dyDescent="0.3">
      <c r="A1858" s="24" t="s">
        <v>23</v>
      </c>
      <c r="B1858" s="24" t="s">
        <v>2183</v>
      </c>
      <c r="C1858" s="12" t="s">
        <v>2184</v>
      </c>
      <c r="D1858" s="55"/>
      <c r="E1858" s="39" t="str">
        <f>HYPERLINK("https://www.google.ru/search?q=1366068-020&amp;newwindow=1&amp;tbm=isch","Еще фото")</f>
        <v>Еще фото</v>
      </c>
      <c r="F1858" s="13"/>
      <c r="G1858" s="24" t="s">
        <v>2167</v>
      </c>
      <c r="H1858" s="24" t="s">
        <v>27</v>
      </c>
      <c r="I1858" s="24" t="s">
        <v>2163</v>
      </c>
      <c r="J1858" s="14" t="s">
        <v>29</v>
      </c>
      <c r="K1858" s="15" t="s">
        <v>30</v>
      </c>
      <c r="L1858" s="58"/>
      <c r="M1858" s="14" t="s">
        <v>2173</v>
      </c>
      <c r="N1858" s="14" t="s">
        <v>84</v>
      </c>
      <c r="O1858" s="14"/>
      <c r="P1858" s="15" t="s">
        <v>2186</v>
      </c>
      <c r="Q1858" s="16">
        <v>7599</v>
      </c>
      <c r="R1858" s="17">
        <v>40</v>
      </c>
      <c r="S1858" s="18">
        <v>5243.3099999999995</v>
      </c>
      <c r="T1858" s="19" t="s">
        <v>36</v>
      </c>
      <c r="U1858" s="20" t="s">
        <v>41</v>
      </c>
      <c r="V1858" s="21" t="s">
        <v>42</v>
      </c>
      <c r="W1858" s="22">
        <v>2</v>
      </c>
      <c r="X1858" s="23"/>
    </row>
    <row r="1859" spans="1:24" s="1" customFormat="1" ht="108" customHeight="1" x14ac:dyDescent="0.3">
      <c r="A1859" s="11" t="s">
        <v>23</v>
      </c>
      <c r="B1859" s="11" t="s">
        <v>2187</v>
      </c>
      <c r="C1859" s="12" t="s">
        <v>2188</v>
      </c>
      <c r="D1859" s="25"/>
      <c r="E1859" s="39" t="str">
        <f>HYPERLINK("https://www.google.ru/search?q=1373359-391&amp;newwindow=1&amp;tbm=isch","Еще фото")</f>
        <v>Еще фото</v>
      </c>
      <c r="F1859" s="13"/>
      <c r="G1859" s="11" t="s">
        <v>2189</v>
      </c>
      <c r="H1859" s="11" t="s">
        <v>27</v>
      </c>
      <c r="I1859" s="14" t="s">
        <v>2190</v>
      </c>
      <c r="J1859" s="14" t="s">
        <v>29</v>
      </c>
      <c r="K1859" s="15" t="s">
        <v>30</v>
      </c>
      <c r="L1859" s="14" t="s">
        <v>2191</v>
      </c>
      <c r="M1859" s="14" t="s">
        <v>90</v>
      </c>
      <c r="N1859" s="14" t="s">
        <v>640</v>
      </c>
      <c r="O1859" s="14"/>
      <c r="P1859" s="15" t="s">
        <v>51</v>
      </c>
      <c r="Q1859" s="16">
        <v>8999</v>
      </c>
      <c r="R1859" s="17">
        <v>80.02</v>
      </c>
      <c r="S1859" s="18">
        <v>2067.4354999999996</v>
      </c>
      <c r="T1859" s="19" t="s">
        <v>36</v>
      </c>
      <c r="U1859" s="20" t="s">
        <v>37</v>
      </c>
      <c r="V1859" s="21" t="s">
        <v>38</v>
      </c>
      <c r="W1859" s="22">
        <v>1</v>
      </c>
      <c r="X1859" s="23"/>
    </row>
    <row r="1860" spans="1:24" s="1" customFormat="1" ht="51.95" customHeight="1" x14ac:dyDescent="0.3">
      <c r="A1860" s="11" t="s">
        <v>23</v>
      </c>
      <c r="B1860" s="11" t="s">
        <v>2192</v>
      </c>
      <c r="C1860" s="12" t="s">
        <v>2193</v>
      </c>
      <c r="D1860" s="59"/>
      <c r="E1860" s="39" t="str">
        <f>HYPERLINK("https://www.google.ru/search?q=1356168-001&amp;newwindow=1&amp;tbm=isch","Еще фото")</f>
        <v>Еще фото</v>
      </c>
      <c r="F1860" s="13"/>
      <c r="G1860" s="11" t="s">
        <v>643</v>
      </c>
      <c r="H1860" s="11" t="s">
        <v>27</v>
      </c>
      <c r="I1860" s="14" t="s">
        <v>2190</v>
      </c>
      <c r="J1860" s="14" t="s">
        <v>29</v>
      </c>
      <c r="K1860" s="15" t="s">
        <v>30</v>
      </c>
      <c r="L1860" s="56" t="s">
        <v>2194</v>
      </c>
      <c r="M1860" s="14" t="s">
        <v>49</v>
      </c>
      <c r="N1860" s="14" t="s">
        <v>33</v>
      </c>
      <c r="O1860" s="14" t="s">
        <v>34</v>
      </c>
      <c r="P1860" s="15" t="s">
        <v>2195</v>
      </c>
      <c r="Q1860" s="16">
        <v>10899</v>
      </c>
      <c r="R1860" s="17">
        <v>76.81</v>
      </c>
      <c r="S1860" s="18">
        <v>2906.9354999999996</v>
      </c>
      <c r="T1860" s="19" t="s">
        <v>36</v>
      </c>
      <c r="U1860" s="20" t="s">
        <v>37</v>
      </c>
      <c r="V1860" s="21" t="s">
        <v>38</v>
      </c>
      <c r="W1860" s="22">
        <v>3</v>
      </c>
      <c r="X1860" s="23"/>
    </row>
    <row r="1861" spans="1:24" s="1" customFormat="1" ht="60.95" customHeight="1" x14ac:dyDescent="0.3">
      <c r="A1861" s="24" t="s">
        <v>23</v>
      </c>
      <c r="B1861" s="24" t="s">
        <v>2192</v>
      </c>
      <c r="C1861" s="12" t="s">
        <v>2193</v>
      </c>
      <c r="D1861" s="60"/>
      <c r="E1861" s="39" t="str">
        <f>HYPERLINK("https://www.google.ru/search?q=1356168-001&amp;newwindow=1&amp;tbm=isch","Еще фото")</f>
        <v>Еще фото</v>
      </c>
      <c r="F1861" s="13"/>
      <c r="G1861" s="24" t="s">
        <v>643</v>
      </c>
      <c r="H1861" s="24" t="s">
        <v>27</v>
      </c>
      <c r="I1861" s="24" t="s">
        <v>2190</v>
      </c>
      <c r="J1861" s="14" t="s">
        <v>29</v>
      </c>
      <c r="K1861" s="15" t="s">
        <v>30</v>
      </c>
      <c r="L1861" s="58"/>
      <c r="M1861" s="14" t="s">
        <v>49</v>
      </c>
      <c r="N1861" s="14" t="s">
        <v>33</v>
      </c>
      <c r="O1861" s="14" t="s">
        <v>34</v>
      </c>
      <c r="P1861" s="15" t="s">
        <v>2195</v>
      </c>
      <c r="Q1861" s="16">
        <v>10899</v>
      </c>
      <c r="R1861" s="17">
        <v>76.81</v>
      </c>
      <c r="S1861" s="18">
        <v>2906.9354999999996</v>
      </c>
      <c r="T1861" s="19" t="s">
        <v>36</v>
      </c>
      <c r="U1861" s="20" t="s">
        <v>39</v>
      </c>
      <c r="V1861" s="21" t="s">
        <v>40</v>
      </c>
      <c r="W1861" s="22">
        <v>2</v>
      </c>
      <c r="X1861" s="23"/>
    </row>
    <row r="1862" spans="1:24" s="1" customFormat="1" ht="35.1" customHeight="1" x14ac:dyDescent="0.3">
      <c r="A1862" s="11" t="s">
        <v>23</v>
      </c>
      <c r="B1862" s="11" t="s">
        <v>2196</v>
      </c>
      <c r="C1862" s="12" t="s">
        <v>2197</v>
      </c>
      <c r="D1862" s="53"/>
      <c r="E1862" s="39" t="str">
        <f>HYPERLINK("https://www.google.ru/search?q=1389914-989&amp;newwindow=1&amp;tbm=isch","Еще фото")</f>
        <v>Еще фото</v>
      </c>
      <c r="F1862" s="13"/>
      <c r="G1862" s="11" t="s">
        <v>2198</v>
      </c>
      <c r="H1862" s="11" t="s">
        <v>27</v>
      </c>
      <c r="I1862" s="14" t="s">
        <v>2190</v>
      </c>
      <c r="J1862" s="14" t="s">
        <v>47</v>
      </c>
      <c r="K1862" s="15" t="s">
        <v>30</v>
      </c>
      <c r="L1862" s="56" t="s">
        <v>2199</v>
      </c>
      <c r="M1862" s="14"/>
      <c r="N1862" s="14" t="s">
        <v>140</v>
      </c>
      <c r="O1862" s="14"/>
      <c r="P1862" s="15" t="s">
        <v>113</v>
      </c>
      <c r="Q1862" s="16">
        <v>18799</v>
      </c>
      <c r="R1862" s="17">
        <v>71.34</v>
      </c>
      <c r="S1862" s="18">
        <v>6195.9354999999996</v>
      </c>
      <c r="T1862" s="19" t="s">
        <v>36</v>
      </c>
      <c r="U1862" s="20" t="s">
        <v>37</v>
      </c>
      <c r="V1862" s="21" t="s">
        <v>38</v>
      </c>
      <c r="W1862" s="22">
        <v>7</v>
      </c>
      <c r="X1862" s="23"/>
    </row>
    <row r="1863" spans="1:24" s="1" customFormat="1" ht="35.1" customHeight="1" x14ac:dyDescent="0.3">
      <c r="A1863" s="24" t="s">
        <v>23</v>
      </c>
      <c r="B1863" s="24" t="s">
        <v>2196</v>
      </c>
      <c r="C1863" s="12" t="s">
        <v>2197</v>
      </c>
      <c r="D1863" s="54"/>
      <c r="E1863" s="39" t="str">
        <f>HYPERLINK("https://www.google.ru/search?q=1389914-989&amp;newwindow=1&amp;tbm=isch","Еще фото")</f>
        <v>Еще фото</v>
      </c>
      <c r="F1863" s="13"/>
      <c r="G1863" s="24" t="s">
        <v>2198</v>
      </c>
      <c r="H1863" s="24" t="s">
        <v>27</v>
      </c>
      <c r="I1863" s="24" t="s">
        <v>2190</v>
      </c>
      <c r="J1863" s="14" t="s">
        <v>47</v>
      </c>
      <c r="K1863" s="15" t="s">
        <v>30</v>
      </c>
      <c r="L1863" s="57"/>
      <c r="M1863" s="14"/>
      <c r="N1863" s="14" t="s">
        <v>140</v>
      </c>
      <c r="O1863" s="14"/>
      <c r="P1863" s="15" t="s">
        <v>113</v>
      </c>
      <c r="Q1863" s="16">
        <v>18799</v>
      </c>
      <c r="R1863" s="17">
        <v>71.34</v>
      </c>
      <c r="S1863" s="18">
        <v>6195.9354999999996</v>
      </c>
      <c r="T1863" s="19" t="s">
        <v>36</v>
      </c>
      <c r="U1863" s="20" t="s">
        <v>39</v>
      </c>
      <c r="V1863" s="21" t="s">
        <v>40</v>
      </c>
      <c r="W1863" s="22">
        <v>6</v>
      </c>
      <c r="X1863" s="23"/>
    </row>
    <row r="1864" spans="1:24" s="1" customFormat="1" ht="36.950000000000003" customHeight="1" x14ac:dyDescent="0.3">
      <c r="A1864" s="24" t="s">
        <v>23</v>
      </c>
      <c r="B1864" s="24" t="s">
        <v>2196</v>
      </c>
      <c r="C1864" s="12" t="s">
        <v>2197</v>
      </c>
      <c r="D1864" s="55"/>
      <c r="E1864" s="39" t="str">
        <f>HYPERLINK("https://www.google.ru/search?q=1389914-989&amp;newwindow=1&amp;tbm=isch","Еще фото")</f>
        <v>Еще фото</v>
      </c>
      <c r="F1864" s="13"/>
      <c r="G1864" s="24" t="s">
        <v>2198</v>
      </c>
      <c r="H1864" s="24" t="s">
        <v>27</v>
      </c>
      <c r="I1864" s="24" t="s">
        <v>2190</v>
      </c>
      <c r="J1864" s="14" t="s">
        <v>47</v>
      </c>
      <c r="K1864" s="15" t="s">
        <v>30</v>
      </c>
      <c r="L1864" s="58"/>
      <c r="M1864" s="14"/>
      <c r="N1864" s="14" t="s">
        <v>140</v>
      </c>
      <c r="O1864" s="14"/>
      <c r="P1864" s="15" t="s">
        <v>113</v>
      </c>
      <c r="Q1864" s="16">
        <v>18799</v>
      </c>
      <c r="R1864" s="17">
        <v>71.34</v>
      </c>
      <c r="S1864" s="18">
        <v>6195.9354999999996</v>
      </c>
      <c r="T1864" s="19" t="s">
        <v>36</v>
      </c>
      <c r="U1864" s="20" t="s">
        <v>41</v>
      </c>
      <c r="V1864" s="21" t="s">
        <v>42</v>
      </c>
      <c r="W1864" s="22">
        <v>6</v>
      </c>
      <c r="X1864" s="23"/>
    </row>
    <row r="1865" spans="1:24" s="1" customFormat="1" ht="108" customHeight="1" x14ac:dyDescent="0.3">
      <c r="A1865" s="11" t="s">
        <v>23</v>
      </c>
      <c r="B1865" s="11" t="s">
        <v>2200</v>
      </c>
      <c r="C1865" s="12" t="s">
        <v>2201</v>
      </c>
      <c r="D1865" s="25"/>
      <c r="E1865" s="39" t="str">
        <f>HYPERLINK("https://www.google.ru/search?q=1371587-390&amp;newwindow=1&amp;tbm=isch","Еще фото")</f>
        <v>Еще фото</v>
      </c>
      <c r="F1865" s="13"/>
      <c r="G1865" s="11" t="s">
        <v>2202</v>
      </c>
      <c r="H1865" s="11" t="s">
        <v>27</v>
      </c>
      <c r="I1865" s="14" t="s">
        <v>2190</v>
      </c>
      <c r="J1865" s="14" t="s">
        <v>29</v>
      </c>
      <c r="K1865" s="15" t="s">
        <v>30</v>
      </c>
      <c r="L1865" s="14" t="s">
        <v>2203</v>
      </c>
      <c r="M1865" s="14" t="s">
        <v>2204</v>
      </c>
      <c r="N1865" s="14" t="s">
        <v>640</v>
      </c>
      <c r="O1865" s="14"/>
      <c r="P1865" s="15" t="s">
        <v>51</v>
      </c>
      <c r="Q1865" s="16">
        <v>18999</v>
      </c>
      <c r="R1865" s="17">
        <v>66.959999999999994</v>
      </c>
      <c r="S1865" s="18">
        <v>7219.4354999999996</v>
      </c>
      <c r="T1865" s="19" t="s">
        <v>36</v>
      </c>
      <c r="U1865" s="20" t="s">
        <v>37</v>
      </c>
      <c r="V1865" s="21" t="s">
        <v>38</v>
      </c>
      <c r="W1865" s="22">
        <v>7</v>
      </c>
      <c r="X1865" s="23"/>
    </row>
    <row r="1866" spans="1:24" s="1" customFormat="1" ht="51.95" customHeight="1" x14ac:dyDescent="0.3">
      <c r="A1866" s="11" t="s">
        <v>23</v>
      </c>
      <c r="B1866" s="11" t="s">
        <v>2205</v>
      </c>
      <c r="C1866" s="12" t="s">
        <v>2206</v>
      </c>
      <c r="D1866" s="59"/>
      <c r="E1866" s="39" t="str">
        <f>HYPERLINK("https://www.google.ru/search?q=1379285-001&amp;newwindow=1&amp;tbm=isch","Еще фото")</f>
        <v>Еще фото</v>
      </c>
      <c r="F1866" s="13"/>
      <c r="G1866" s="11" t="s">
        <v>2198</v>
      </c>
      <c r="H1866" s="11" t="s">
        <v>27</v>
      </c>
      <c r="I1866" s="14" t="s">
        <v>2190</v>
      </c>
      <c r="J1866" s="14" t="s">
        <v>29</v>
      </c>
      <c r="K1866" s="15" t="s">
        <v>54</v>
      </c>
      <c r="L1866" s="56" t="s">
        <v>2207</v>
      </c>
      <c r="M1866" s="14" t="s">
        <v>409</v>
      </c>
      <c r="N1866" s="14" t="s">
        <v>410</v>
      </c>
      <c r="O1866" s="14"/>
      <c r="P1866" s="15" t="s">
        <v>51</v>
      </c>
      <c r="Q1866" s="16">
        <v>8999</v>
      </c>
      <c r="R1866" s="17">
        <v>66.8</v>
      </c>
      <c r="S1866" s="18">
        <v>3435.9354999999996</v>
      </c>
      <c r="T1866" s="19" t="s">
        <v>36</v>
      </c>
      <c r="U1866" s="20" t="s">
        <v>114</v>
      </c>
      <c r="V1866" s="21" t="s">
        <v>115</v>
      </c>
      <c r="W1866" s="22">
        <v>14</v>
      </c>
      <c r="X1866" s="23"/>
    </row>
    <row r="1867" spans="1:24" s="1" customFormat="1" ht="60.95" customHeight="1" x14ac:dyDescent="0.3">
      <c r="A1867" s="24" t="s">
        <v>23</v>
      </c>
      <c r="B1867" s="24" t="s">
        <v>2205</v>
      </c>
      <c r="C1867" s="12" t="s">
        <v>2206</v>
      </c>
      <c r="D1867" s="60"/>
      <c r="E1867" s="39" t="str">
        <f>HYPERLINK("https://www.google.ru/search?q=1379285-001&amp;newwindow=1&amp;tbm=isch","Еще фото")</f>
        <v>Еще фото</v>
      </c>
      <c r="F1867" s="13"/>
      <c r="G1867" s="24" t="s">
        <v>2198</v>
      </c>
      <c r="H1867" s="24" t="s">
        <v>27</v>
      </c>
      <c r="I1867" s="24" t="s">
        <v>2190</v>
      </c>
      <c r="J1867" s="14" t="s">
        <v>29</v>
      </c>
      <c r="K1867" s="15" t="s">
        <v>54</v>
      </c>
      <c r="L1867" s="58"/>
      <c r="M1867" s="14" t="s">
        <v>409</v>
      </c>
      <c r="N1867" s="14" t="s">
        <v>410</v>
      </c>
      <c r="O1867" s="14"/>
      <c r="P1867" s="15" t="s">
        <v>51</v>
      </c>
      <c r="Q1867" s="16">
        <v>8999</v>
      </c>
      <c r="R1867" s="17">
        <v>66.8</v>
      </c>
      <c r="S1867" s="18">
        <v>3435.9354999999996</v>
      </c>
      <c r="T1867" s="19" t="s">
        <v>36</v>
      </c>
      <c r="U1867" s="20" t="s">
        <v>126</v>
      </c>
      <c r="V1867" s="21" t="s">
        <v>127</v>
      </c>
      <c r="W1867" s="22">
        <v>17</v>
      </c>
      <c r="X1867" s="23"/>
    </row>
    <row r="1868" spans="1:24" s="1" customFormat="1" ht="108" customHeight="1" x14ac:dyDescent="0.3">
      <c r="A1868" s="11" t="s">
        <v>23</v>
      </c>
      <c r="B1868" s="11" t="s">
        <v>2208</v>
      </c>
      <c r="C1868" s="12" t="s">
        <v>2209</v>
      </c>
      <c r="D1868" s="25"/>
      <c r="E1868" s="39" t="str">
        <f>HYPERLINK("https://www.google.ru/search?q=1373354-400&amp;newwindow=1&amp;tbm=isch","Еще фото")</f>
        <v>Еще фото</v>
      </c>
      <c r="F1868" s="13"/>
      <c r="G1868" s="11" t="s">
        <v>2198</v>
      </c>
      <c r="H1868" s="11" t="s">
        <v>27</v>
      </c>
      <c r="I1868" s="14" t="s">
        <v>2190</v>
      </c>
      <c r="J1868" s="14" t="s">
        <v>29</v>
      </c>
      <c r="K1868" s="15" t="s">
        <v>30</v>
      </c>
      <c r="L1868" s="14" t="s">
        <v>2210</v>
      </c>
      <c r="M1868" s="14" t="s">
        <v>90</v>
      </c>
      <c r="N1868" s="14" t="s">
        <v>377</v>
      </c>
      <c r="O1868" s="14"/>
      <c r="P1868" s="15" t="s">
        <v>51</v>
      </c>
      <c r="Q1868" s="16">
        <v>8999</v>
      </c>
      <c r="R1868" s="17">
        <v>64.349999999999994</v>
      </c>
      <c r="S1868" s="18">
        <v>3688.9354999999996</v>
      </c>
      <c r="T1868" s="19" t="s">
        <v>36</v>
      </c>
      <c r="U1868" s="20" t="s">
        <v>39</v>
      </c>
      <c r="V1868" s="21" t="s">
        <v>40</v>
      </c>
      <c r="W1868" s="22">
        <v>2</v>
      </c>
      <c r="X1868" s="23"/>
    </row>
    <row r="1869" spans="1:24" s="1" customFormat="1" ht="35.1" customHeight="1" x14ac:dyDescent="0.3">
      <c r="A1869" s="11" t="s">
        <v>23</v>
      </c>
      <c r="B1869" s="11" t="s">
        <v>2211</v>
      </c>
      <c r="C1869" s="12" t="s">
        <v>2212</v>
      </c>
      <c r="D1869" s="53"/>
      <c r="E1869" s="39" t="str">
        <f>HYPERLINK("https://www.google.ru/search?q=1373881-452&amp;newwindow=1&amp;tbm=isch","Еще фото")</f>
        <v>Еще фото</v>
      </c>
      <c r="F1869" s="13"/>
      <c r="G1869" s="11" t="s">
        <v>2198</v>
      </c>
      <c r="H1869" s="11" t="s">
        <v>27</v>
      </c>
      <c r="I1869" s="14" t="s">
        <v>2190</v>
      </c>
      <c r="J1869" s="14" t="s">
        <v>47</v>
      </c>
      <c r="K1869" s="15" t="s">
        <v>30</v>
      </c>
      <c r="L1869" s="56" t="s">
        <v>2213</v>
      </c>
      <c r="M1869" s="14"/>
      <c r="N1869" s="14" t="s">
        <v>91</v>
      </c>
      <c r="O1869" s="14"/>
      <c r="P1869" s="15" t="s">
        <v>113</v>
      </c>
      <c r="Q1869" s="16">
        <v>9999</v>
      </c>
      <c r="R1869" s="17">
        <v>61.72</v>
      </c>
      <c r="S1869" s="18">
        <v>4401.9354999999996</v>
      </c>
      <c r="T1869" s="19" t="s">
        <v>36</v>
      </c>
      <c r="U1869" s="20" t="s">
        <v>37</v>
      </c>
      <c r="V1869" s="21" t="s">
        <v>38</v>
      </c>
      <c r="W1869" s="22">
        <v>4</v>
      </c>
      <c r="X1869" s="23"/>
    </row>
    <row r="1870" spans="1:24" s="1" customFormat="1" ht="35.1" customHeight="1" x14ac:dyDescent="0.3">
      <c r="A1870" s="24" t="s">
        <v>23</v>
      </c>
      <c r="B1870" s="24" t="s">
        <v>2211</v>
      </c>
      <c r="C1870" s="12" t="s">
        <v>2212</v>
      </c>
      <c r="D1870" s="54"/>
      <c r="E1870" s="39" t="str">
        <f>HYPERLINK("https://www.google.ru/search?q=1373881-452&amp;newwindow=1&amp;tbm=isch","Еще фото")</f>
        <v>Еще фото</v>
      </c>
      <c r="F1870" s="13"/>
      <c r="G1870" s="24" t="s">
        <v>2198</v>
      </c>
      <c r="H1870" s="24" t="s">
        <v>27</v>
      </c>
      <c r="I1870" s="24" t="s">
        <v>2190</v>
      </c>
      <c r="J1870" s="14" t="s">
        <v>47</v>
      </c>
      <c r="K1870" s="15" t="s">
        <v>30</v>
      </c>
      <c r="L1870" s="57"/>
      <c r="M1870" s="14"/>
      <c r="N1870" s="14" t="s">
        <v>91</v>
      </c>
      <c r="O1870" s="14"/>
      <c r="P1870" s="15" t="s">
        <v>113</v>
      </c>
      <c r="Q1870" s="16">
        <v>9999</v>
      </c>
      <c r="R1870" s="17">
        <v>61.72</v>
      </c>
      <c r="S1870" s="18">
        <v>4401.9354999999996</v>
      </c>
      <c r="T1870" s="19" t="s">
        <v>36</v>
      </c>
      <c r="U1870" s="20" t="s">
        <v>39</v>
      </c>
      <c r="V1870" s="21" t="s">
        <v>40</v>
      </c>
      <c r="W1870" s="22">
        <v>10</v>
      </c>
      <c r="X1870" s="23"/>
    </row>
    <row r="1871" spans="1:24" s="1" customFormat="1" ht="36.950000000000003" customHeight="1" x14ac:dyDescent="0.3">
      <c r="A1871" s="24" t="s">
        <v>23</v>
      </c>
      <c r="B1871" s="24" t="s">
        <v>2211</v>
      </c>
      <c r="C1871" s="12" t="s">
        <v>2212</v>
      </c>
      <c r="D1871" s="55"/>
      <c r="E1871" s="39" t="str">
        <f>HYPERLINK("https://www.google.ru/search?q=1373881-452&amp;newwindow=1&amp;tbm=isch","Еще фото")</f>
        <v>Еще фото</v>
      </c>
      <c r="F1871" s="13"/>
      <c r="G1871" s="24" t="s">
        <v>2198</v>
      </c>
      <c r="H1871" s="24" t="s">
        <v>27</v>
      </c>
      <c r="I1871" s="24" t="s">
        <v>2190</v>
      </c>
      <c r="J1871" s="14" t="s">
        <v>47</v>
      </c>
      <c r="K1871" s="15" t="s">
        <v>30</v>
      </c>
      <c r="L1871" s="58"/>
      <c r="M1871" s="14"/>
      <c r="N1871" s="14" t="s">
        <v>91</v>
      </c>
      <c r="O1871" s="14"/>
      <c r="P1871" s="15" t="s">
        <v>113</v>
      </c>
      <c r="Q1871" s="16">
        <v>9999</v>
      </c>
      <c r="R1871" s="17">
        <v>61.72</v>
      </c>
      <c r="S1871" s="18">
        <v>4401.9354999999996</v>
      </c>
      <c r="T1871" s="19" t="s">
        <v>36</v>
      </c>
      <c r="U1871" s="20" t="s">
        <v>41</v>
      </c>
      <c r="V1871" s="21" t="s">
        <v>42</v>
      </c>
      <c r="W1871" s="22">
        <v>12</v>
      </c>
      <c r="X1871" s="23"/>
    </row>
    <row r="1872" spans="1:24" s="1" customFormat="1" ht="26.1" customHeight="1" x14ac:dyDescent="0.3">
      <c r="A1872" s="11" t="s">
        <v>23</v>
      </c>
      <c r="B1872" s="11" t="s">
        <v>2214</v>
      </c>
      <c r="C1872" s="12" t="s">
        <v>2215</v>
      </c>
      <c r="D1872" s="53"/>
      <c r="E1872" s="39" t="str">
        <f>HYPERLINK("https://www.google.ru/search?q=1383029-025&amp;newwindow=1&amp;tbm=isch","Еще фото")</f>
        <v>Еще фото</v>
      </c>
      <c r="F1872" s="13"/>
      <c r="G1872" s="11" t="s">
        <v>2202</v>
      </c>
      <c r="H1872" s="11" t="s">
        <v>27</v>
      </c>
      <c r="I1872" s="14" t="s">
        <v>2190</v>
      </c>
      <c r="J1872" s="14" t="s">
        <v>29</v>
      </c>
      <c r="K1872" s="15" t="s">
        <v>30</v>
      </c>
      <c r="L1872" s="56" t="s">
        <v>2216</v>
      </c>
      <c r="M1872" s="14"/>
      <c r="N1872" s="14" t="s">
        <v>84</v>
      </c>
      <c r="O1872" s="14"/>
      <c r="P1872" s="15" t="s">
        <v>2217</v>
      </c>
      <c r="Q1872" s="16">
        <v>13499</v>
      </c>
      <c r="R1872" s="17">
        <v>61.72</v>
      </c>
      <c r="S1872" s="18">
        <v>5942.9354999999996</v>
      </c>
      <c r="T1872" s="19" t="s">
        <v>36</v>
      </c>
      <c r="U1872" s="20" t="s">
        <v>37</v>
      </c>
      <c r="V1872" s="21" t="s">
        <v>38</v>
      </c>
      <c r="W1872" s="22">
        <v>5</v>
      </c>
      <c r="X1872" s="23"/>
    </row>
    <row r="1873" spans="1:24" s="1" customFormat="1" ht="26.1" customHeight="1" x14ac:dyDescent="0.3">
      <c r="A1873" s="24" t="s">
        <v>23</v>
      </c>
      <c r="B1873" s="24" t="s">
        <v>2214</v>
      </c>
      <c r="C1873" s="12" t="s">
        <v>2215</v>
      </c>
      <c r="D1873" s="54"/>
      <c r="E1873" s="39" t="str">
        <f>HYPERLINK("https://www.google.ru/search?q=1383029-025&amp;newwindow=1&amp;tbm=isch","Еще фото")</f>
        <v>Еще фото</v>
      </c>
      <c r="F1873" s="13"/>
      <c r="G1873" s="24" t="s">
        <v>2202</v>
      </c>
      <c r="H1873" s="24" t="s">
        <v>27</v>
      </c>
      <c r="I1873" s="24" t="s">
        <v>2190</v>
      </c>
      <c r="J1873" s="14" t="s">
        <v>29</v>
      </c>
      <c r="K1873" s="15" t="s">
        <v>30</v>
      </c>
      <c r="L1873" s="57"/>
      <c r="M1873" s="14"/>
      <c r="N1873" s="14" t="s">
        <v>84</v>
      </c>
      <c r="O1873" s="14"/>
      <c r="P1873" s="15" t="s">
        <v>2217</v>
      </c>
      <c r="Q1873" s="16">
        <v>13499</v>
      </c>
      <c r="R1873" s="17">
        <v>61.72</v>
      </c>
      <c r="S1873" s="18">
        <v>5942.9354999999996</v>
      </c>
      <c r="T1873" s="19" t="s">
        <v>36</v>
      </c>
      <c r="U1873" s="20" t="s">
        <v>39</v>
      </c>
      <c r="V1873" s="21" t="s">
        <v>40</v>
      </c>
      <c r="W1873" s="22">
        <v>4</v>
      </c>
      <c r="X1873" s="23"/>
    </row>
    <row r="1874" spans="1:24" s="1" customFormat="1" ht="26.1" customHeight="1" x14ac:dyDescent="0.3">
      <c r="A1874" s="24" t="s">
        <v>23</v>
      </c>
      <c r="B1874" s="24" t="s">
        <v>2214</v>
      </c>
      <c r="C1874" s="12" t="s">
        <v>2215</v>
      </c>
      <c r="D1874" s="54"/>
      <c r="E1874" s="39" t="str">
        <f>HYPERLINK("https://www.google.ru/search?q=1383029-025&amp;newwindow=1&amp;tbm=isch","Еще фото")</f>
        <v>Еще фото</v>
      </c>
      <c r="F1874" s="13"/>
      <c r="G1874" s="24" t="s">
        <v>2202</v>
      </c>
      <c r="H1874" s="24" t="s">
        <v>27</v>
      </c>
      <c r="I1874" s="24" t="s">
        <v>2190</v>
      </c>
      <c r="J1874" s="14" t="s">
        <v>29</v>
      </c>
      <c r="K1874" s="15" t="s">
        <v>30</v>
      </c>
      <c r="L1874" s="57"/>
      <c r="M1874" s="14"/>
      <c r="N1874" s="14" t="s">
        <v>84</v>
      </c>
      <c r="O1874" s="14"/>
      <c r="P1874" s="15" t="s">
        <v>2217</v>
      </c>
      <c r="Q1874" s="16">
        <v>13499</v>
      </c>
      <c r="R1874" s="17">
        <v>61.72</v>
      </c>
      <c r="S1874" s="18">
        <v>5942.9354999999996</v>
      </c>
      <c r="T1874" s="19" t="s">
        <v>36</v>
      </c>
      <c r="U1874" s="20" t="s">
        <v>41</v>
      </c>
      <c r="V1874" s="21" t="s">
        <v>42</v>
      </c>
      <c r="W1874" s="22">
        <v>1</v>
      </c>
      <c r="X1874" s="23"/>
    </row>
    <row r="1875" spans="1:24" s="1" customFormat="1" ht="26.1" customHeight="1" x14ac:dyDescent="0.3">
      <c r="A1875" s="24" t="s">
        <v>23</v>
      </c>
      <c r="B1875" s="24" t="s">
        <v>2214</v>
      </c>
      <c r="C1875" s="12" t="s">
        <v>2215</v>
      </c>
      <c r="D1875" s="55"/>
      <c r="E1875" s="39" t="str">
        <f>HYPERLINK("https://www.google.ru/search?q=1383029-025&amp;newwindow=1&amp;tbm=isch","Еще фото")</f>
        <v>Еще фото</v>
      </c>
      <c r="F1875" s="13"/>
      <c r="G1875" s="24" t="s">
        <v>2202</v>
      </c>
      <c r="H1875" s="24" t="s">
        <v>27</v>
      </c>
      <c r="I1875" s="24" t="s">
        <v>2190</v>
      </c>
      <c r="J1875" s="14" t="s">
        <v>29</v>
      </c>
      <c r="K1875" s="15" t="s">
        <v>30</v>
      </c>
      <c r="L1875" s="58"/>
      <c r="M1875" s="14"/>
      <c r="N1875" s="14" t="s">
        <v>84</v>
      </c>
      <c r="O1875" s="14"/>
      <c r="P1875" s="15" t="s">
        <v>2217</v>
      </c>
      <c r="Q1875" s="16">
        <v>13499</v>
      </c>
      <c r="R1875" s="17">
        <v>61.72</v>
      </c>
      <c r="S1875" s="18">
        <v>5942.9354999999996</v>
      </c>
      <c r="T1875" s="19" t="s">
        <v>36</v>
      </c>
      <c r="U1875" s="20" t="s">
        <v>104</v>
      </c>
      <c r="V1875" s="21" t="s">
        <v>105</v>
      </c>
      <c r="W1875" s="22">
        <v>1</v>
      </c>
      <c r="X1875" s="23"/>
    </row>
    <row r="1876" spans="1:24" s="1" customFormat="1" ht="108" customHeight="1" x14ac:dyDescent="0.3">
      <c r="A1876" s="11" t="s">
        <v>23</v>
      </c>
      <c r="B1876" s="11" t="s">
        <v>2208</v>
      </c>
      <c r="C1876" s="12" t="s">
        <v>2218</v>
      </c>
      <c r="D1876" s="25"/>
      <c r="E1876" s="39" t="str">
        <f>HYPERLINK("https://www.google.ru/search?q=1373354-410&amp;newwindow=1&amp;tbm=isch","Еще фото")</f>
        <v>Еще фото</v>
      </c>
      <c r="F1876" s="13"/>
      <c r="G1876" s="11" t="s">
        <v>2198</v>
      </c>
      <c r="H1876" s="11" t="s">
        <v>27</v>
      </c>
      <c r="I1876" s="14" t="s">
        <v>2190</v>
      </c>
      <c r="J1876" s="14" t="s">
        <v>29</v>
      </c>
      <c r="K1876" s="15" t="s">
        <v>30</v>
      </c>
      <c r="L1876" s="14" t="s">
        <v>2210</v>
      </c>
      <c r="M1876" s="14" t="s">
        <v>90</v>
      </c>
      <c r="N1876" s="14" t="s">
        <v>91</v>
      </c>
      <c r="O1876" s="14"/>
      <c r="P1876" s="15" t="s">
        <v>51</v>
      </c>
      <c r="Q1876" s="16">
        <v>8999</v>
      </c>
      <c r="R1876" s="17">
        <v>61.69</v>
      </c>
      <c r="S1876" s="18">
        <v>3964.9354999999996</v>
      </c>
      <c r="T1876" s="19" t="s">
        <v>36</v>
      </c>
      <c r="U1876" s="20" t="s">
        <v>37</v>
      </c>
      <c r="V1876" s="21" t="s">
        <v>38</v>
      </c>
      <c r="W1876" s="22">
        <v>1</v>
      </c>
      <c r="X1876" s="23"/>
    </row>
    <row r="1877" spans="1:24" s="1" customFormat="1" ht="26.1" customHeight="1" x14ac:dyDescent="0.3">
      <c r="A1877" s="11" t="s">
        <v>23</v>
      </c>
      <c r="B1877" s="11" t="s">
        <v>2219</v>
      </c>
      <c r="C1877" s="12" t="s">
        <v>2220</v>
      </c>
      <c r="D1877" s="53"/>
      <c r="E1877" s="39" t="str">
        <f>HYPERLINK("https://www.google.ru/search?q=1378824-390&amp;newwindow=1&amp;tbm=isch","Еще фото")</f>
        <v>Еще фото</v>
      </c>
      <c r="F1877" s="13"/>
      <c r="G1877" s="11" t="s">
        <v>2202</v>
      </c>
      <c r="H1877" s="11" t="s">
        <v>27</v>
      </c>
      <c r="I1877" s="14" t="s">
        <v>2190</v>
      </c>
      <c r="J1877" s="14" t="s">
        <v>29</v>
      </c>
      <c r="K1877" s="15" t="s">
        <v>30</v>
      </c>
      <c r="L1877" s="56" t="s">
        <v>2221</v>
      </c>
      <c r="M1877" s="14" t="s">
        <v>32</v>
      </c>
      <c r="N1877" s="14" t="s">
        <v>125</v>
      </c>
      <c r="O1877" s="14"/>
      <c r="P1877" s="15" t="s">
        <v>51</v>
      </c>
      <c r="Q1877" s="16">
        <v>17999</v>
      </c>
      <c r="R1877" s="17">
        <v>61.68</v>
      </c>
      <c r="S1877" s="18">
        <v>7932.4354999999996</v>
      </c>
      <c r="T1877" s="19" t="s">
        <v>36</v>
      </c>
      <c r="U1877" s="20" t="s">
        <v>37</v>
      </c>
      <c r="V1877" s="21" t="s">
        <v>38</v>
      </c>
      <c r="W1877" s="22">
        <v>5</v>
      </c>
      <c r="X1877" s="23"/>
    </row>
    <row r="1878" spans="1:24" s="1" customFormat="1" ht="26.1" customHeight="1" x14ac:dyDescent="0.3">
      <c r="A1878" s="24" t="s">
        <v>23</v>
      </c>
      <c r="B1878" s="24" t="s">
        <v>2219</v>
      </c>
      <c r="C1878" s="12" t="s">
        <v>2220</v>
      </c>
      <c r="D1878" s="54"/>
      <c r="E1878" s="39" t="str">
        <f>HYPERLINK("https://www.google.ru/search?q=1378824-390&amp;newwindow=1&amp;tbm=isch","Еще фото")</f>
        <v>Еще фото</v>
      </c>
      <c r="F1878" s="13"/>
      <c r="G1878" s="24" t="s">
        <v>2202</v>
      </c>
      <c r="H1878" s="24" t="s">
        <v>27</v>
      </c>
      <c r="I1878" s="24" t="s">
        <v>2190</v>
      </c>
      <c r="J1878" s="14" t="s">
        <v>29</v>
      </c>
      <c r="K1878" s="15" t="s">
        <v>30</v>
      </c>
      <c r="L1878" s="57"/>
      <c r="M1878" s="14" t="s">
        <v>32</v>
      </c>
      <c r="N1878" s="14" t="s">
        <v>125</v>
      </c>
      <c r="O1878" s="14"/>
      <c r="P1878" s="15" t="s">
        <v>51</v>
      </c>
      <c r="Q1878" s="16">
        <v>17999</v>
      </c>
      <c r="R1878" s="17">
        <v>61.68</v>
      </c>
      <c r="S1878" s="18">
        <v>7932.4354999999996</v>
      </c>
      <c r="T1878" s="19" t="s">
        <v>36</v>
      </c>
      <c r="U1878" s="20" t="s">
        <v>39</v>
      </c>
      <c r="V1878" s="21" t="s">
        <v>40</v>
      </c>
      <c r="W1878" s="22">
        <v>11</v>
      </c>
      <c r="X1878" s="23"/>
    </row>
    <row r="1879" spans="1:24" s="1" customFormat="1" ht="26.1" customHeight="1" x14ac:dyDescent="0.3">
      <c r="A1879" s="24" t="s">
        <v>23</v>
      </c>
      <c r="B1879" s="24" t="s">
        <v>2219</v>
      </c>
      <c r="C1879" s="12" t="s">
        <v>2220</v>
      </c>
      <c r="D1879" s="54"/>
      <c r="E1879" s="39" t="str">
        <f>HYPERLINK("https://www.google.ru/search?q=1378824-390&amp;newwindow=1&amp;tbm=isch","Еще фото")</f>
        <v>Еще фото</v>
      </c>
      <c r="F1879" s="13"/>
      <c r="G1879" s="24" t="s">
        <v>2202</v>
      </c>
      <c r="H1879" s="24" t="s">
        <v>27</v>
      </c>
      <c r="I1879" s="24" t="s">
        <v>2190</v>
      </c>
      <c r="J1879" s="14" t="s">
        <v>29</v>
      </c>
      <c r="K1879" s="15" t="s">
        <v>30</v>
      </c>
      <c r="L1879" s="57"/>
      <c r="M1879" s="14" t="s">
        <v>32</v>
      </c>
      <c r="N1879" s="14" t="s">
        <v>125</v>
      </c>
      <c r="O1879" s="14"/>
      <c r="P1879" s="15" t="s">
        <v>51</v>
      </c>
      <c r="Q1879" s="16">
        <v>17999</v>
      </c>
      <c r="R1879" s="17">
        <v>61.68</v>
      </c>
      <c r="S1879" s="18">
        <v>7932.4354999999996</v>
      </c>
      <c r="T1879" s="19" t="s">
        <v>36</v>
      </c>
      <c r="U1879" s="20" t="s">
        <v>41</v>
      </c>
      <c r="V1879" s="21" t="s">
        <v>42</v>
      </c>
      <c r="W1879" s="22">
        <v>6</v>
      </c>
      <c r="X1879" s="23"/>
    </row>
    <row r="1880" spans="1:24" s="1" customFormat="1" ht="26.1" customHeight="1" x14ac:dyDescent="0.3">
      <c r="A1880" s="24" t="s">
        <v>23</v>
      </c>
      <c r="B1880" s="24" t="s">
        <v>2219</v>
      </c>
      <c r="C1880" s="12" t="s">
        <v>2220</v>
      </c>
      <c r="D1880" s="55"/>
      <c r="E1880" s="39" t="str">
        <f>HYPERLINK("https://www.google.ru/search?q=1378824-390&amp;newwindow=1&amp;tbm=isch","Еще фото")</f>
        <v>Еще фото</v>
      </c>
      <c r="F1880" s="13"/>
      <c r="G1880" s="24" t="s">
        <v>2202</v>
      </c>
      <c r="H1880" s="24" t="s">
        <v>27</v>
      </c>
      <c r="I1880" s="24" t="s">
        <v>2190</v>
      </c>
      <c r="J1880" s="14" t="s">
        <v>29</v>
      </c>
      <c r="K1880" s="15" t="s">
        <v>30</v>
      </c>
      <c r="L1880" s="58"/>
      <c r="M1880" s="14" t="s">
        <v>32</v>
      </c>
      <c r="N1880" s="14" t="s">
        <v>125</v>
      </c>
      <c r="O1880" s="14"/>
      <c r="P1880" s="15" t="s">
        <v>51</v>
      </c>
      <c r="Q1880" s="16">
        <v>17999</v>
      </c>
      <c r="R1880" s="17">
        <v>61.68</v>
      </c>
      <c r="S1880" s="18">
        <v>7932.4354999999996</v>
      </c>
      <c r="T1880" s="19" t="s">
        <v>36</v>
      </c>
      <c r="U1880" s="20" t="s">
        <v>43</v>
      </c>
      <c r="V1880" s="21" t="s">
        <v>44</v>
      </c>
      <c r="W1880" s="22">
        <v>1</v>
      </c>
      <c r="X1880" s="23"/>
    </row>
    <row r="1881" spans="1:24" s="1" customFormat="1" ht="35.1" customHeight="1" x14ac:dyDescent="0.3">
      <c r="A1881" s="11" t="s">
        <v>23</v>
      </c>
      <c r="B1881" s="11" t="s">
        <v>2222</v>
      </c>
      <c r="C1881" s="12" t="s">
        <v>2223</v>
      </c>
      <c r="D1881" s="53"/>
      <c r="E1881" s="39" t="str">
        <f>HYPERLINK("https://www.google.ru/search?q=1373357-400&amp;newwindow=1&amp;tbm=isch","Еще фото")</f>
        <v>Еще фото</v>
      </c>
      <c r="F1881" s="13"/>
      <c r="G1881" s="11" t="s">
        <v>2198</v>
      </c>
      <c r="H1881" s="11" t="s">
        <v>27</v>
      </c>
      <c r="I1881" s="14" t="s">
        <v>2190</v>
      </c>
      <c r="J1881" s="14" t="s">
        <v>29</v>
      </c>
      <c r="K1881" s="15" t="s">
        <v>30</v>
      </c>
      <c r="L1881" s="56" t="s">
        <v>2224</v>
      </c>
      <c r="M1881" s="14" t="s">
        <v>409</v>
      </c>
      <c r="N1881" s="14" t="s">
        <v>377</v>
      </c>
      <c r="O1881" s="14"/>
      <c r="P1881" s="15" t="s">
        <v>51</v>
      </c>
      <c r="Q1881" s="16">
        <v>9899</v>
      </c>
      <c r="R1881" s="17">
        <v>61.63</v>
      </c>
      <c r="S1881" s="18">
        <v>4367.4354999999996</v>
      </c>
      <c r="T1881" s="19" t="s">
        <v>36</v>
      </c>
      <c r="U1881" s="20" t="s">
        <v>37</v>
      </c>
      <c r="V1881" s="21" t="s">
        <v>38</v>
      </c>
      <c r="W1881" s="22">
        <v>7</v>
      </c>
      <c r="X1881" s="23"/>
    </row>
    <row r="1882" spans="1:24" s="1" customFormat="1" ht="35.1" customHeight="1" x14ac:dyDescent="0.3">
      <c r="A1882" s="24" t="s">
        <v>23</v>
      </c>
      <c r="B1882" s="24" t="s">
        <v>2222</v>
      </c>
      <c r="C1882" s="12" t="s">
        <v>2223</v>
      </c>
      <c r="D1882" s="54"/>
      <c r="E1882" s="39" t="str">
        <f>HYPERLINK("https://www.google.ru/search?q=1373357-400&amp;newwindow=1&amp;tbm=isch","Еще фото")</f>
        <v>Еще фото</v>
      </c>
      <c r="F1882" s="13"/>
      <c r="G1882" s="24" t="s">
        <v>2198</v>
      </c>
      <c r="H1882" s="24" t="s">
        <v>27</v>
      </c>
      <c r="I1882" s="24" t="s">
        <v>2190</v>
      </c>
      <c r="J1882" s="14" t="s">
        <v>29</v>
      </c>
      <c r="K1882" s="15" t="s">
        <v>30</v>
      </c>
      <c r="L1882" s="57"/>
      <c r="M1882" s="14" t="s">
        <v>409</v>
      </c>
      <c r="N1882" s="14" t="s">
        <v>377</v>
      </c>
      <c r="O1882" s="14"/>
      <c r="P1882" s="15" t="s">
        <v>51</v>
      </c>
      <c r="Q1882" s="16">
        <v>9899</v>
      </c>
      <c r="R1882" s="17">
        <v>61.63</v>
      </c>
      <c r="S1882" s="18">
        <v>4367.4354999999996</v>
      </c>
      <c r="T1882" s="19" t="s">
        <v>36</v>
      </c>
      <c r="U1882" s="20" t="s">
        <v>39</v>
      </c>
      <c r="V1882" s="21" t="s">
        <v>40</v>
      </c>
      <c r="W1882" s="22">
        <v>6</v>
      </c>
      <c r="X1882" s="23"/>
    </row>
    <row r="1883" spans="1:24" s="1" customFormat="1" ht="36.950000000000003" customHeight="1" x14ac:dyDescent="0.3">
      <c r="A1883" s="24" t="s">
        <v>23</v>
      </c>
      <c r="B1883" s="24" t="s">
        <v>2222</v>
      </c>
      <c r="C1883" s="12" t="s">
        <v>2223</v>
      </c>
      <c r="D1883" s="55"/>
      <c r="E1883" s="39" t="str">
        <f>HYPERLINK("https://www.google.ru/search?q=1373357-400&amp;newwindow=1&amp;tbm=isch","Еще фото")</f>
        <v>Еще фото</v>
      </c>
      <c r="F1883" s="13"/>
      <c r="G1883" s="24" t="s">
        <v>2198</v>
      </c>
      <c r="H1883" s="24" t="s">
        <v>27</v>
      </c>
      <c r="I1883" s="24" t="s">
        <v>2190</v>
      </c>
      <c r="J1883" s="14" t="s">
        <v>29</v>
      </c>
      <c r="K1883" s="15" t="s">
        <v>30</v>
      </c>
      <c r="L1883" s="58"/>
      <c r="M1883" s="14" t="s">
        <v>409</v>
      </c>
      <c r="N1883" s="14" t="s">
        <v>377</v>
      </c>
      <c r="O1883" s="14"/>
      <c r="P1883" s="15" t="s">
        <v>51</v>
      </c>
      <c r="Q1883" s="16">
        <v>9899</v>
      </c>
      <c r="R1883" s="17">
        <v>61.63</v>
      </c>
      <c r="S1883" s="18">
        <v>4367.4354999999996</v>
      </c>
      <c r="T1883" s="19" t="s">
        <v>36</v>
      </c>
      <c r="U1883" s="20" t="s">
        <v>41</v>
      </c>
      <c r="V1883" s="21" t="s">
        <v>42</v>
      </c>
      <c r="W1883" s="22">
        <v>4</v>
      </c>
      <c r="X1883" s="23"/>
    </row>
    <row r="1884" spans="1:24" s="1" customFormat="1" ht="26.1" customHeight="1" x14ac:dyDescent="0.3">
      <c r="A1884" s="11" t="s">
        <v>23</v>
      </c>
      <c r="B1884" s="11" t="s">
        <v>2225</v>
      </c>
      <c r="C1884" s="12" t="s">
        <v>2226</v>
      </c>
      <c r="D1884" s="53"/>
      <c r="E1884" s="39" t="str">
        <f>HYPERLINK("https://www.google.ru/search?q=6003939-390&amp;newwindow=1&amp;tbm=isch","Еще фото")</f>
        <v>Еще фото</v>
      </c>
      <c r="F1884" s="13"/>
      <c r="G1884" s="11" t="s">
        <v>2189</v>
      </c>
      <c r="H1884" s="11" t="s">
        <v>27</v>
      </c>
      <c r="I1884" s="14" t="s">
        <v>2190</v>
      </c>
      <c r="J1884" s="14" t="s">
        <v>47</v>
      </c>
      <c r="K1884" s="15" t="s">
        <v>30</v>
      </c>
      <c r="L1884" s="56" t="s">
        <v>2227</v>
      </c>
      <c r="M1884" s="14"/>
      <c r="N1884" s="14" t="s">
        <v>125</v>
      </c>
      <c r="O1884" s="14"/>
      <c r="P1884" s="15" t="s">
        <v>113</v>
      </c>
      <c r="Q1884" s="16">
        <v>19999</v>
      </c>
      <c r="R1884" s="17">
        <v>59.56</v>
      </c>
      <c r="S1884" s="18">
        <v>9300.9354999999996</v>
      </c>
      <c r="T1884" s="19" t="s">
        <v>36</v>
      </c>
      <c r="U1884" s="20" t="s">
        <v>37</v>
      </c>
      <c r="V1884" s="21" t="s">
        <v>38</v>
      </c>
      <c r="W1884" s="22">
        <v>1</v>
      </c>
      <c r="X1884" s="23"/>
    </row>
    <row r="1885" spans="1:24" s="1" customFormat="1" ht="26.1" customHeight="1" x14ac:dyDescent="0.3">
      <c r="A1885" s="24" t="s">
        <v>23</v>
      </c>
      <c r="B1885" s="24" t="s">
        <v>2225</v>
      </c>
      <c r="C1885" s="12" t="s">
        <v>2226</v>
      </c>
      <c r="D1885" s="54"/>
      <c r="E1885" s="39" t="str">
        <f>HYPERLINK("https://www.google.ru/search?q=6003939-390&amp;newwindow=1&amp;tbm=isch","Еще фото")</f>
        <v>Еще фото</v>
      </c>
      <c r="F1885" s="13"/>
      <c r="G1885" s="24" t="s">
        <v>2189</v>
      </c>
      <c r="H1885" s="24" t="s">
        <v>27</v>
      </c>
      <c r="I1885" s="24" t="s">
        <v>2190</v>
      </c>
      <c r="J1885" s="14" t="s">
        <v>47</v>
      </c>
      <c r="K1885" s="15" t="s">
        <v>30</v>
      </c>
      <c r="L1885" s="57"/>
      <c r="M1885" s="14"/>
      <c r="N1885" s="14" t="s">
        <v>125</v>
      </c>
      <c r="O1885" s="14"/>
      <c r="P1885" s="15" t="s">
        <v>113</v>
      </c>
      <c r="Q1885" s="16">
        <v>19999</v>
      </c>
      <c r="R1885" s="17">
        <v>59.56</v>
      </c>
      <c r="S1885" s="18">
        <v>9300.9354999999996</v>
      </c>
      <c r="T1885" s="19" t="s">
        <v>36</v>
      </c>
      <c r="U1885" s="20" t="s">
        <v>39</v>
      </c>
      <c r="V1885" s="21" t="s">
        <v>40</v>
      </c>
      <c r="W1885" s="22">
        <v>6</v>
      </c>
      <c r="X1885" s="23"/>
    </row>
    <row r="1886" spans="1:24" s="1" customFormat="1" ht="26.1" customHeight="1" x14ac:dyDescent="0.3">
      <c r="A1886" s="24" t="s">
        <v>23</v>
      </c>
      <c r="B1886" s="24" t="s">
        <v>2225</v>
      </c>
      <c r="C1886" s="12" t="s">
        <v>2226</v>
      </c>
      <c r="D1886" s="54"/>
      <c r="E1886" s="39" t="str">
        <f>HYPERLINK("https://www.google.ru/search?q=6003939-390&amp;newwindow=1&amp;tbm=isch","Еще фото")</f>
        <v>Еще фото</v>
      </c>
      <c r="F1886" s="13"/>
      <c r="G1886" s="24" t="s">
        <v>2189</v>
      </c>
      <c r="H1886" s="24" t="s">
        <v>27</v>
      </c>
      <c r="I1886" s="24" t="s">
        <v>2190</v>
      </c>
      <c r="J1886" s="14" t="s">
        <v>47</v>
      </c>
      <c r="K1886" s="15" t="s">
        <v>30</v>
      </c>
      <c r="L1886" s="57"/>
      <c r="M1886" s="14"/>
      <c r="N1886" s="14" t="s">
        <v>125</v>
      </c>
      <c r="O1886" s="14"/>
      <c r="P1886" s="15" t="s">
        <v>113</v>
      </c>
      <c r="Q1886" s="16">
        <v>19999</v>
      </c>
      <c r="R1886" s="17">
        <v>59.56</v>
      </c>
      <c r="S1886" s="18">
        <v>9300.9354999999996</v>
      </c>
      <c r="T1886" s="19" t="s">
        <v>36</v>
      </c>
      <c r="U1886" s="20" t="s">
        <v>41</v>
      </c>
      <c r="V1886" s="21" t="s">
        <v>42</v>
      </c>
      <c r="W1886" s="22">
        <v>1</v>
      </c>
      <c r="X1886" s="23"/>
    </row>
    <row r="1887" spans="1:24" s="1" customFormat="1" ht="26.1" customHeight="1" x14ac:dyDescent="0.3">
      <c r="A1887" s="24" t="s">
        <v>23</v>
      </c>
      <c r="B1887" s="24" t="s">
        <v>2225</v>
      </c>
      <c r="C1887" s="12" t="s">
        <v>2226</v>
      </c>
      <c r="D1887" s="55"/>
      <c r="E1887" s="39" t="str">
        <f>HYPERLINK("https://www.google.ru/search?q=6003939-390&amp;newwindow=1&amp;tbm=isch","Еще фото")</f>
        <v>Еще фото</v>
      </c>
      <c r="F1887" s="13"/>
      <c r="G1887" s="24" t="s">
        <v>2189</v>
      </c>
      <c r="H1887" s="24" t="s">
        <v>27</v>
      </c>
      <c r="I1887" s="24" t="s">
        <v>2190</v>
      </c>
      <c r="J1887" s="14" t="s">
        <v>47</v>
      </c>
      <c r="K1887" s="15" t="s">
        <v>30</v>
      </c>
      <c r="L1887" s="58"/>
      <c r="M1887" s="14"/>
      <c r="N1887" s="14" t="s">
        <v>125</v>
      </c>
      <c r="O1887" s="14"/>
      <c r="P1887" s="15" t="s">
        <v>113</v>
      </c>
      <c r="Q1887" s="16">
        <v>19999</v>
      </c>
      <c r="R1887" s="17">
        <v>59.56</v>
      </c>
      <c r="S1887" s="18">
        <v>9300.9354999999996</v>
      </c>
      <c r="T1887" s="19" t="s">
        <v>36</v>
      </c>
      <c r="U1887" s="20" t="s">
        <v>43</v>
      </c>
      <c r="V1887" s="21" t="s">
        <v>44</v>
      </c>
      <c r="W1887" s="22">
        <v>1</v>
      </c>
      <c r="X1887" s="23"/>
    </row>
    <row r="1888" spans="1:24" s="1" customFormat="1" ht="51.95" customHeight="1" x14ac:dyDescent="0.3">
      <c r="A1888" s="11" t="s">
        <v>23</v>
      </c>
      <c r="B1888" s="11" t="s">
        <v>2228</v>
      </c>
      <c r="C1888" s="12" t="s">
        <v>2229</v>
      </c>
      <c r="D1888" s="59"/>
      <c r="E1888" s="39" t="str">
        <f>HYPERLINK("https://www.google.ru/search?q=1386444-707&amp;newwindow=1&amp;tbm=isch","Еще фото")</f>
        <v>Еще фото</v>
      </c>
      <c r="F1888" s="13"/>
      <c r="G1888" s="11" t="s">
        <v>2189</v>
      </c>
      <c r="H1888" s="11" t="s">
        <v>27</v>
      </c>
      <c r="I1888" s="14" t="s">
        <v>2190</v>
      </c>
      <c r="J1888" s="14" t="s">
        <v>29</v>
      </c>
      <c r="K1888" s="15" t="s">
        <v>64</v>
      </c>
      <c r="L1888" s="56" t="s">
        <v>2230</v>
      </c>
      <c r="M1888" s="14"/>
      <c r="N1888" s="14" t="s">
        <v>249</v>
      </c>
      <c r="O1888" s="14"/>
      <c r="P1888" s="15" t="s">
        <v>156</v>
      </c>
      <c r="Q1888" s="16">
        <v>9099</v>
      </c>
      <c r="R1888" s="17">
        <v>59.47</v>
      </c>
      <c r="S1888" s="18">
        <v>4240.9354999999996</v>
      </c>
      <c r="T1888" s="19" t="s">
        <v>36</v>
      </c>
      <c r="U1888" s="20" t="s">
        <v>69</v>
      </c>
      <c r="V1888" s="21" t="s">
        <v>70</v>
      </c>
      <c r="W1888" s="22">
        <v>3</v>
      </c>
      <c r="X1888" s="23"/>
    </row>
    <row r="1889" spans="1:24" s="1" customFormat="1" ht="60.95" customHeight="1" x14ac:dyDescent="0.3">
      <c r="A1889" s="24" t="s">
        <v>23</v>
      </c>
      <c r="B1889" s="24" t="s">
        <v>2228</v>
      </c>
      <c r="C1889" s="12" t="s">
        <v>2229</v>
      </c>
      <c r="D1889" s="60"/>
      <c r="E1889" s="39" t="str">
        <f>HYPERLINK("https://www.google.ru/search?q=1386444-707&amp;newwindow=1&amp;tbm=isch","Еще фото")</f>
        <v>Еще фото</v>
      </c>
      <c r="F1889" s="13"/>
      <c r="G1889" s="24" t="s">
        <v>2189</v>
      </c>
      <c r="H1889" s="24" t="s">
        <v>27</v>
      </c>
      <c r="I1889" s="24" t="s">
        <v>2190</v>
      </c>
      <c r="J1889" s="14" t="s">
        <v>29</v>
      </c>
      <c r="K1889" s="15" t="s">
        <v>64</v>
      </c>
      <c r="L1889" s="58"/>
      <c r="M1889" s="14"/>
      <c r="N1889" s="14" t="s">
        <v>249</v>
      </c>
      <c r="O1889" s="14"/>
      <c r="P1889" s="15" t="s">
        <v>156</v>
      </c>
      <c r="Q1889" s="16">
        <v>9099</v>
      </c>
      <c r="R1889" s="17">
        <v>59.47</v>
      </c>
      <c r="S1889" s="18">
        <v>4240.9354999999996</v>
      </c>
      <c r="T1889" s="19" t="s">
        <v>36</v>
      </c>
      <c r="U1889" s="20" t="s">
        <v>37</v>
      </c>
      <c r="V1889" s="21" t="s">
        <v>86</v>
      </c>
      <c r="W1889" s="22">
        <v>6</v>
      </c>
      <c r="X1889" s="23"/>
    </row>
    <row r="1890" spans="1:24" s="1" customFormat="1" ht="26.1" customHeight="1" x14ac:dyDescent="0.3">
      <c r="A1890" s="11" t="s">
        <v>23</v>
      </c>
      <c r="B1890" s="11" t="s">
        <v>2231</v>
      </c>
      <c r="C1890" s="12" t="s">
        <v>2232</v>
      </c>
      <c r="D1890" s="53"/>
      <c r="E1890" s="39" t="str">
        <f>HYPERLINK("https://www.google.ru/search?q=1389356-390&amp;newwindow=1&amp;tbm=isch","Еще фото")</f>
        <v>Еще фото</v>
      </c>
      <c r="F1890" s="13"/>
      <c r="G1890" s="11" t="s">
        <v>2198</v>
      </c>
      <c r="H1890" s="11" t="s">
        <v>27</v>
      </c>
      <c r="I1890" s="14" t="s">
        <v>2190</v>
      </c>
      <c r="J1890" s="14" t="s">
        <v>29</v>
      </c>
      <c r="K1890" s="15" t="s">
        <v>30</v>
      </c>
      <c r="L1890" s="56" t="s">
        <v>2233</v>
      </c>
      <c r="M1890" s="14"/>
      <c r="N1890" s="14" t="s">
        <v>125</v>
      </c>
      <c r="O1890" s="14"/>
      <c r="P1890" s="15" t="s">
        <v>113</v>
      </c>
      <c r="Q1890" s="16">
        <v>8699</v>
      </c>
      <c r="R1890" s="17">
        <v>59.45</v>
      </c>
      <c r="S1890" s="18">
        <v>4056.9354999999996</v>
      </c>
      <c r="T1890" s="19" t="s">
        <v>36</v>
      </c>
      <c r="U1890" s="20" t="s">
        <v>37</v>
      </c>
      <c r="V1890" s="21" t="s">
        <v>38</v>
      </c>
      <c r="W1890" s="22">
        <v>5</v>
      </c>
      <c r="X1890" s="23"/>
    </row>
    <row r="1891" spans="1:24" s="1" customFormat="1" ht="26.1" customHeight="1" x14ac:dyDescent="0.3">
      <c r="A1891" s="24" t="s">
        <v>23</v>
      </c>
      <c r="B1891" s="24" t="s">
        <v>2231</v>
      </c>
      <c r="C1891" s="12" t="s">
        <v>2232</v>
      </c>
      <c r="D1891" s="54"/>
      <c r="E1891" s="39" t="str">
        <f>HYPERLINK("https://www.google.ru/search?q=1389356-390&amp;newwindow=1&amp;tbm=isch","Еще фото")</f>
        <v>Еще фото</v>
      </c>
      <c r="F1891" s="13"/>
      <c r="G1891" s="24" t="s">
        <v>2198</v>
      </c>
      <c r="H1891" s="24" t="s">
        <v>27</v>
      </c>
      <c r="I1891" s="24" t="s">
        <v>2190</v>
      </c>
      <c r="J1891" s="14" t="s">
        <v>29</v>
      </c>
      <c r="K1891" s="15" t="s">
        <v>30</v>
      </c>
      <c r="L1891" s="57"/>
      <c r="M1891" s="14"/>
      <c r="N1891" s="14" t="s">
        <v>125</v>
      </c>
      <c r="O1891" s="14"/>
      <c r="P1891" s="15" t="s">
        <v>113</v>
      </c>
      <c r="Q1891" s="16">
        <v>8699</v>
      </c>
      <c r="R1891" s="17">
        <v>59.45</v>
      </c>
      <c r="S1891" s="18">
        <v>4056.9354999999996</v>
      </c>
      <c r="T1891" s="19" t="s">
        <v>36</v>
      </c>
      <c r="U1891" s="20" t="s">
        <v>39</v>
      </c>
      <c r="V1891" s="21" t="s">
        <v>40</v>
      </c>
      <c r="W1891" s="22">
        <v>8</v>
      </c>
      <c r="X1891" s="23"/>
    </row>
    <row r="1892" spans="1:24" s="1" customFormat="1" ht="26.1" customHeight="1" x14ac:dyDescent="0.3">
      <c r="A1892" s="24" t="s">
        <v>23</v>
      </c>
      <c r="B1892" s="24" t="s">
        <v>2231</v>
      </c>
      <c r="C1892" s="12" t="s">
        <v>2232</v>
      </c>
      <c r="D1892" s="54"/>
      <c r="E1892" s="39" t="str">
        <f>HYPERLINK("https://www.google.ru/search?q=1389356-390&amp;newwindow=1&amp;tbm=isch","Еще фото")</f>
        <v>Еще фото</v>
      </c>
      <c r="F1892" s="13"/>
      <c r="G1892" s="24" t="s">
        <v>2198</v>
      </c>
      <c r="H1892" s="24" t="s">
        <v>27</v>
      </c>
      <c r="I1892" s="24" t="s">
        <v>2190</v>
      </c>
      <c r="J1892" s="14" t="s">
        <v>29</v>
      </c>
      <c r="K1892" s="15" t="s">
        <v>30</v>
      </c>
      <c r="L1892" s="57"/>
      <c r="M1892" s="14"/>
      <c r="N1892" s="14" t="s">
        <v>125</v>
      </c>
      <c r="O1892" s="14"/>
      <c r="P1892" s="15" t="s">
        <v>113</v>
      </c>
      <c r="Q1892" s="16">
        <v>8699</v>
      </c>
      <c r="R1892" s="17">
        <v>59.45</v>
      </c>
      <c r="S1892" s="18">
        <v>4056.9354999999996</v>
      </c>
      <c r="T1892" s="19" t="s">
        <v>36</v>
      </c>
      <c r="U1892" s="20" t="s">
        <v>41</v>
      </c>
      <c r="V1892" s="21" t="s">
        <v>42</v>
      </c>
      <c r="W1892" s="22">
        <v>13</v>
      </c>
      <c r="X1892" s="23"/>
    </row>
    <row r="1893" spans="1:24" s="1" customFormat="1" ht="26.1" customHeight="1" x14ac:dyDescent="0.3">
      <c r="A1893" s="24" t="s">
        <v>23</v>
      </c>
      <c r="B1893" s="24" t="s">
        <v>2231</v>
      </c>
      <c r="C1893" s="12" t="s">
        <v>2232</v>
      </c>
      <c r="D1893" s="55"/>
      <c r="E1893" s="39" t="str">
        <f>HYPERLINK("https://www.google.ru/search?q=1389356-390&amp;newwindow=1&amp;tbm=isch","Еще фото")</f>
        <v>Еще фото</v>
      </c>
      <c r="F1893" s="13"/>
      <c r="G1893" s="24" t="s">
        <v>2198</v>
      </c>
      <c r="H1893" s="24" t="s">
        <v>27</v>
      </c>
      <c r="I1893" s="24" t="s">
        <v>2190</v>
      </c>
      <c r="J1893" s="14" t="s">
        <v>29</v>
      </c>
      <c r="K1893" s="15" t="s">
        <v>30</v>
      </c>
      <c r="L1893" s="58"/>
      <c r="M1893" s="14"/>
      <c r="N1893" s="14" t="s">
        <v>125</v>
      </c>
      <c r="O1893" s="14"/>
      <c r="P1893" s="15" t="s">
        <v>113</v>
      </c>
      <c r="Q1893" s="16">
        <v>8699</v>
      </c>
      <c r="R1893" s="17">
        <v>59.45</v>
      </c>
      <c r="S1893" s="18">
        <v>4056.9354999999996</v>
      </c>
      <c r="T1893" s="19" t="s">
        <v>36</v>
      </c>
      <c r="U1893" s="20" t="s">
        <v>43</v>
      </c>
      <c r="V1893" s="21" t="s">
        <v>44</v>
      </c>
      <c r="W1893" s="22">
        <v>2</v>
      </c>
      <c r="X1893" s="23"/>
    </row>
    <row r="1894" spans="1:24" s="1" customFormat="1" ht="21" customHeight="1" x14ac:dyDescent="0.3">
      <c r="A1894" s="11" t="s">
        <v>23</v>
      </c>
      <c r="B1894" s="11" t="s">
        <v>2234</v>
      </c>
      <c r="C1894" s="26" t="s">
        <v>2235</v>
      </c>
      <c r="D1894" s="53"/>
      <c r="E1894" s="39" t="str">
        <f>HYPERLINK("https://www.google.ru/search?q=1373880-402&amp;newwindow=1&amp;tbm=isch","Еще фото")</f>
        <v>Еще фото</v>
      </c>
      <c r="F1894" s="13" t="s">
        <v>98</v>
      </c>
      <c r="G1894" s="11" t="s">
        <v>2198</v>
      </c>
      <c r="H1894" s="11" t="s">
        <v>27</v>
      </c>
      <c r="I1894" s="14" t="s">
        <v>2190</v>
      </c>
      <c r="J1894" s="14" t="s">
        <v>47</v>
      </c>
      <c r="K1894" s="15" t="s">
        <v>30</v>
      </c>
      <c r="L1894" s="56" t="s">
        <v>2236</v>
      </c>
      <c r="M1894" s="14"/>
      <c r="N1894" s="14" t="s">
        <v>91</v>
      </c>
      <c r="O1894" s="14"/>
      <c r="P1894" s="15" t="s">
        <v>113</v>
      </c>
      <c r="Q1894" s="16">
        <v>8099</v>
      </c>
      <c r="R1894" s="17">
        <v>59.41</v>
      </c>
      <c r="S1894" s="18">
        <v>3780.9354999999996</v>
      </c>
      <c r="T1894" s="19" t="s">
        <v>36</v>
      </c>
      <c r="U1894" s="20" t="s">
        <v>37</v>
      </c>
      <c r="V1894" s="21" t="s">
        <v>38</v>
      </c>
      <c r="W1894" s="22">
        <v>6</v>
      </c>
      <c r="X1894" s="23"/>
    </row>
    <row r="1895" spans="1:24" s="1" customFormat="1" ht="21" customHeight="1" x14ac:dyDescent="0.3">
      <c r="A1895" s="24" t="s">
        <v>23</v>
      </c>
      <c r="B1895" s="24" t="s">
        <v>2234</v>
      </c>
      <c r="C1895" s="27" t="s">
        <v>2235</v>
      </c>
      <c r="D1895" s="54"/>
      <c r="E1895" s="39" t="str">
        <f>HYPERLINK("https://www.google.ru/search?q=1373880-402&amp;newwindow=1&amp;tbm=isch","Еще фото")</f>
        <v>Еще фото</v>
      </c>
      <c r="F1895" s="13" t="s">
        <v>98</v>
      </c>
      <c r="G1895" s="24" t="s">
        <v>2198</v>
      </c>
      <c r="H1895" s="24" t="s">
        <v>27</v>
      </c>
      <c r="I1895" s="24" t="s">
        <v>2190</v>
      </c>
      <c r="J1895" s="14" t="s">
        <v>47</v>
      </c>
      <c r="K1895" s="15" t="s">
        <v>30</v>
      </c>
      <c r="L1895" s="57"/>
      <c r="M1895" s="14"/>
      <c r="N1895" s="14" t="s">
        <v>91</v>
      </c>
      <c r="O1895" s="14"/>
      <c r="P1895" s="15" t="s">
        <v>113</v>
      </c>
      <c r="Q1895" s="16">
        <v>8099</v>
      </c>
      <c r="R1895" s="17">
        <v>59.41</v>
      </c>
      <c r="S1895" s="18">
        <v>3780.9354999999996</v>
      </c>
      <c r="T1895" s="19" t="s">
        <v>36</v>
      </c>
      <c r="U1895" s="20" t="s">
        <v>39</v>
      </c>
      <c r="V1895" s="21" t="s">
        <v>40</v>
      </c>
      <c r="W1895" s="22">
        <v>21</v>
      </c>
      <c r="X1895" s="23"/>
    </row>
    <row r="1896" spans="1:24" s="1" customFormat="1" ht="21" customHeight="1" x14ac:dyDescent="0.3">
      <c r="A1896" s="24" t="s">
        <v>23</v>
      </c>
      <c r="B1896" s="24" t="s">
        <v>2234</v>
      </c>
      <c r="C1896" s="27" t="s">
        <v>2235</v>
      </c>
      <c r="D1896" s="54"/>
      <c r="E1896" s="39" t="str">
        <f>HYPERLINK("https://www.google.ru/search?q=1373880-402&amp;newwindow=1&amp;tbm=isch","Еще фото")</f>
        <v>Еще фото</v>
      </c>
      <c r="F1896" s="13" t="s">
        <v>98</v>
      </c>
      <c r="G1896" s="24" t="s">
        <v>2198</v>
      </c>
      <c r="H1896" s="24" t="s">
        <v>27</v>
      </c>
      <c r="I1896" s="24" t="s">
        <v>2190</v>
      </c>
      <c r="J1896" s="14" t="s">
        <v>47</v>
      </c>
      <c r="K1896" s="15" t="s">
        <v>30</v>
      </c>
      <c r="L1896" s="57"/>
      <c r="M1896" s="14"/>
      <c r="N1896" s="14" t="s">
        <v>91</v>
      </c>
      <c r="O1896" s="14"/>
      <c r="P1896" s="15" t="s">
        <v>113</v>
      </c>
      <c r="Q1896" s="16">
        <v>8099</v>
      </c>
      <c r="R1896" s="17">
        <v>59.41</v>
      </c>
      <c r="S1896" s="18">
        <v>3780.9354999999996</v>
      </c>
      <c r="T1896" s="19" t="s">
        <v>36</v>
      </c>
      <c r="U1896" s="20" t="s">
        <v>41</v>
      </c>
      <c r="V1896" s="21" t="s">
        <v>42</v>
      </c>
      <c r="W1896" s="22">
        <v>21</v>
      </c>
      <c r="X1896" s="23"/>
    </row>
    <row r="1897" spans="1:24" s="1" customFormat="1" ht="21" customHeight="1" x14ac:dyDescent="0.3">
      <c r="A1897" s="24" t="s">
        <v>23</v>
      </c>
      <c r="B1897" s="24" t="s">
        <v>2234</v>
      </c>
      <c r="C1897" s="27" t="s">
        <v>2235</v>
      </c>
      <c r="D1897" s="54"/>
      <c r="E1897" s="39" t="str">
        <f>HYPERLINK("https://www.google.ru/search?q=1373880-402&amp;newwindow=1&amp;tbm=isch","Еще фото")</f>
        <v>Еще фото</v>
      </c>
      <c r="F1897" s="13" t="s">
        <v>98</v>
      </c>
      <c r="G1897" s="24" t="s">
        <v>2198</v>
      </c>
      <c r="H1897" s="24" t="s">
        <v>27</v>
      </c>
      <c r="I1897" s="24" t="s">
        <v>2190</v>
      </c>
      <c r="J1897" s="14" t="s">
        <v>47</v>
      </c>
      <c r="K1897" s="15" t="s">
        <v>30</v>
      </c>
      <c r="L1897" s="57"/>
      <c r="M1897" s="14"/>
      <c r="N1897" s="14" t="s">
        <v>91</v>
      </c>
      <c r="O1897" s="14"/>
      <c r="P1897" s="15" t="s">
        <v>113</v>
      </c>
      <c r="Q1897" s="16">
        <v>8099</v>
      </c>
      <c r="R1897" s="17">
        <v>59.41</v>
      </c>
      <c r="S1897" s="18">
        <v>3780.9354999999996</v>
      </c>
      <c r="T1897" s="19" t="s">
        <v>36</v>
      </c>
      <c r="U1897" s="20" t="s">
        <v>43</v>
      </c>
      <c r="V1897" s="21" t="s">
        <v>44</v>
      </c>
      <c r="W1897" s="22">
        <v>4</v>
      </c>
      <c r="X1897" s="23"/>
    </row>
    <row r="1898" spans="1:24" s="1" customFormat="1" ht="32.1" customHeight="1" x14ac:dyDescent="0.3">
      <c r="A1898" s="24" t="s">
        <v>23</v>
      </c>
      <c r="B1898" s="24" t="s">
        <v>2234</v>
      </c>
      <c r="C1898" s="27" t="s">
        <v>2235</v>
      </c>
      <c r="D1898" s="55"/>
      <c r="E1898" s="39" t="str">
        <f>HYPERLINK("https://www.google.ru/search?q=1373880-402&amp;newwindow=1&amp;tbm=isch","Еще фото")</f>
        <v>Еще фото</v>
      </c>
      <c r="F1898" s="13" t="s">
        <v>98</v>
      </c>
      <c r="G1898" s="24" t="s">
        <v>2198</v>
      </c>
      <c r="H1898" s="24" t="s">
        <v>27</v>
      </c>
      <c r="I1898" s="24" t="s">
        <v>2190</v>
      </c>
      <c r="J1898" s="14" t="s">
        <v>47</v>
      </c>
      <c r="K1898" s="15" t="s">
        <v>30</v>
      </c>
      <c r="L1898" s="58"/>
      <c r="M1898" s="14"/>
      <c r="N1898" s="14" t="s">
        <v>91</v>
      </c>
      <c r="O1898" s="14"/>
      <c r="P1898" s="15" t="s">
        <v>113</v>
      </c>
      <c r="Q1898" s="16">
        <v>8099</v>
      </c>
      <c r="R1898" s="17">
        <v>59.41</v>
      </c>
      <c r="S1898" s="18">
        <v>3780.9354999999996</v>
      </c>
      <c r="T1898" s="19" t="s">
        <v>36</v>
      </c>
      <c r="U1898" s="20" t="s">
        <v>104</v>
      </c>
      <c r="V1898" s="21" t="s">
        <v>105</v>
      </c>
      <c r="W1898" s="22">
        <v>5</v>
      </c>
      <c r="X1898" s="23"/>
    </row>
    <row r="1899" spans="1:24" s="1" customFormat="1" ht="51.95" customHeight="1" x14ac:dyDescent="0.3">
      <c r="A1899" s="11" t="s">
        <v>23</v>
      </c>
      <c r="B1899" s="11" t="s">
        <v>2237</v>
      </c>
      <c r="C1899" s="12" t="s">
        <v>2238</v>
      </c>
      <c r="D1899" s="59"/>
      <c r="E1899" s="39" t="str">
        <f>HYPERLINK("https://www.google.ru/search?q=1379027-722&amp;newwindow=1&amp;tbm=isch","Еще фото")</f>
        <v>Еще фото</v>
      </c>
      <c r="F1899" s="13"/>
      <c r="G1899" s="11" t="s">
        <v>2198</v>
      </c>
      <c r="H1899" s="11" t="s">
        <v>27</v>
      </c>
      <c r="I1899" s="14" t="s">
        <v>2190</v>
      </c>
      <c r="J1899" s="14" t="s">
        <v>29</v>
      </c>
      <c r="K1899" s="15" t="s">
        <v>54</v>
      </c>
      <c r="L1899" s="56" t="s">
        <v>2239</v>
      </c>
      <c r="M1899" s="14"/>
      <c r="N1899" s="14" t="s">
        <v>125</v>
      </c>
      <c r="O1899" s="14"/>
      <c r="P1899" s="15" t="s">
        <v>586</v>
      </c>
      <c r="Q1899" s="16">
        <v>6399</v>
      </c>
      <c r="R1899" s="17">
        <v>59.4</v>
      </c>
      <c r="S1899" s="18">
        <v>2987.4354999999996</v>
      </c>
      <c r="T1899" s="19" t="s">
        <v>36</v>
      </c>
      <c r="U1899" s="20" t="s">
        <v>114</v>
      </c>
      <c r="V1899" s="21" t="s">
        <v>115</v>
      </c>
      <c r="W1899" s="22">
        <v>2</v>
      </c>
      <c r="X1899" s="23"/>
    </row>
    <row r="1900" spans="1:24" s="1" customFormat="1" ht="60.95" customHeight="1" x14ac:dyDescent="0.3">
      <c r="A1900" s="24" t="s">
        <v>23</v>
      </c>
      <c r="B1900" s="24" t="s">
        <v>2237</v>
      </c>
      <c r="C1900" s="12" t="s">
        <v>2238</v>
      </c>
      <c r="D1900" s="60"/>
      <c r="E1900" s="39" t="str">
        <f>HYPERLINK("https://www.google.ru/search?q=1379027-722&amp;newwindow=1&amp;tbm=isch","Еще фото")</f>
        <v>Еще фото</v>
      </c>
      <c r="F1900" s="13"/>
      <c r="G1900" s="24" t="s">
        <v>2198</v>
      </c>
      <c r="H1900" s="24" t="s">
        <v>27</v>
      </c>
      <c r="I1900" s="24" t="s">
        <v>2190</v>
      </c>
      <c r="J1900" s="14" t="s">
        <v>29</v>
      </c>
      <c r="K1900" s="15" t="s">
        <v>54</v>
      </c>
      <c r="L1900" s="58"/>
      <c r="M1900" s="14"/>
      <c r="N1900" s="14" t="s">
        <v>125</v>
      </c>
      <c r="O1900" s="14"/>
      <c r="P1900" s="15" t="s">
        <v>586</v>
      </c>
      <c r="Q1900" s="16">
        <v>6399</v>
      </c>
      <c r="R1900" s="17">
        <v>59.4</v>
      </c>
      <c r="S1900" s="18">
        <v>2987.4354999999996</v>
      </c>
      <c r="T1900" s="19" t="s">
        <v>36</v>
      </c>
      <c r="U1900" s="20" t="s">
        <v>126</v>
      </c>
      <c r="V1900" s="21" t="s">
        <v>127</v>
      </c>
      <c r="W1900" s="22">
        <v>3</v>
      </c>
      <c r="X1900" s="23"/>
    </row>
    <row r="1901" spans="1:24" s="1" customFormat="1" ht="35.1" customHeight="1" x14ac:dyDescent="0.3">
      <c r="A1901" s="11" t="s">
        <v>23</v>
      </c>
      <c r="B1901" s="11" t="s">
        <v>2240</v>
      </c>
      <c r="C1901" s="12" t="s">
        <v>2241</v>
      </c>
      <c r="D1901" s="53"/>
      <c r="E1901" s="39" t="str">
        <f>HYPERLINK("https://www.google.ru/search?q=1373357-410&amp;newwindow=1&amp;tbm=isch","Еще фото")</f>
        <v>Еще фото</v>
      </c>
      <c r="F1901" s="13" t="s">
        <v>98</v>
      </c>
      <c r="G1901" s="11" t="s">
        <v>2198</v>
      </c>
      <c r="H1901" s="11" t="s">
        <v>27</v>
      </c>
      <c r="I1901" s="14" t="s">
        <v>2190</v>
      </c>
      <c r="J1901" s="14" t="s">
        <v>29</v>
      </c>
      <c r="K1901" s="15" t="s">
        <v>30</v>
      </c>
      <c r="L1901" s="56" t="s">
        <v>2242</v>
      </c>
      <c r="M1901" s="14" t="s">
        <v>409</v>
      </c>
      <c r="N1901" s="14" t="s">
        <v>91</v>
      </c>
      <c r="O1901" s="14"/>
      <c r="P1901" s="15" t="s">
        <v>51</v>
      </c>
      <c r="Q1901" s="16">
        <v>9099</v>
      </c>
      <c r="R1901" s="17">
        <v>58.81</v>
      </c>
      <c r="S1901" s="18">
        <v>4309.9354999999996</v>
      </c>
      <c r="T1901" s="19" t="s">
        <v>36</v>
      </c>
      <c r="U1901" s="20" t="s">
        <v>37</v>
      </c>
      <c r="V1901" s="21" t="s">
        <v>38</v>
      </c>
      <c r="W1901" s="22">
        <v>8</v>
      </c>
      <c r="X1901" s="23"/>
    </row>
    <row r="1902" spans="1:24" s="1" customFormat="1" ht="35.1" customHeight="1" x14ac:dyDescent="0.3">
      <c r="A1902" s="24" t="s">
        <v>23</v>
      </c>
      <c r="B1902" s="24" t="s">
        <v>2240</v>
      </c>
      <c r="C1902" s="12" t="s">
        <v>2241</v>
      </c>
      <c r="D1902" s="54"/>
      <c r="E1902" s="39" t="str">
        <f>HYPERLINK("https://www.google.ru/search?q=1373357-410&amp;newwindow=1&amp;tbm=isch","Еще фото")</f>
        <v>Еще фото</v>
      </c>
      <c r="F1902" s="13" t="s">
        <v>98</v>
      </c>
      <c r="G1902" s="24" t="s">
        <v>2198</v>
      </c>
      <c r="H1902" s="24" t="s">
        <v>27</v>
      </c>
      <c r="I1902" s="24" t="s">
        <v>2190</v>
      </c>
      <c r="J1902" s="14" t="s">
        <v>29</v>
      </c>
      <c r="K1902" s="15" t="s">
        <v>30</v>
      </c>
      <c r="L1902" s="57"/>
      <c r="M1902" s="14" t="s">
        <v>409</v>
      </c>
      <c r="N1902" s="14" t="s">
        <v>91</v>
      </c>
      <c r="O1902" s="14"/>
      <c r="P1902" s="15" t="s">
        <v>51</v>
      </c>
      <c r="Q1902" s="16">
        <v>9099</v>
      </c>
      <c r="R1902" s="17">
        <v>58.81</v>
      </c>
      <c r="S1902" s="18">
        <v>4309.9354999999996</v>
      </c>
      <c r="T1902" s="19" t="s">
        <v>36</v>
      </c>
      <c r="U1902" s="20" t="s">
        <v>39</v>
      </c>
      <c r="V1902" s="21" t="s">
        <v>40</v>
      </c>
      <c r="W1902" s="22">
        <v>33</v>
      </c>
      <c r="X1902" s="23"/>
    </row>
    <row r="1903" spans="1:24" s="1" customFormat="1" ht="36.950000000000003" customHeight="1" x14ac:dyDescent="0.3">
      <c r="A1903" s="24" t="s">
        <v>23</v>
      </c>
      <c r="B1903" s="24" t="s">
        <v>2240</v>
      </c>
      <c r="C1903" s="12" t="s">
        <v>2241</v>
      </c>
      <c r="D1903" s="55"/>
      <c r="E1903" s="39" t="str">
        <f>HYPERLINK("https://www.google.ru/search?q=1373357-410&amp;newwindow=1&amp;tbm=isch","Еще фото")</f>
        <v>Еще фото</v>
      </c>
      <c r="F1903" s="13" t="s">
        <v>98</v>
      </c>
      <c r="G1903" s="24" t="s">
        <v>2198</v>
      </c>
      <c r="H1903" s="24" t="s">
        <v>27</v>
      </c>
      <c r="I1903" s="24" t="s">
        <v>2190</v>
      </c>
      <c r="J1903" s="14" t="s">
        <v>29</v>
      </c>
      <c r="K1903" s="15" t="s">
        <v>30</v>
      </c>
      <c r="L1903" s="58"/>
      <c r="M1903" s="14" t="s">
        <v>409</v>
      </c>
      <c r="N1903" s="14" t="s">
        <v>91</v>
      </c>
      <c r="O1903" s="14"/>
      <c r="P1903" s="15" t="s">
        <v>51</v>
      </c>
      <c r="Q1903" s="16">
        <v>9099</v>
      </c>
      <c r="R1903" s="17">
        <v>58.81</v>
      </c>
      <c r="S1903" s="18">
        <v>4309.9354999999996</v>
      </c>
      <c r="T1903" s="19" t="s">
        <v>36</v>
      </c>
      <c r="U1903" s="20" t="s">
        <v>41</v>
      </c>
      <c r="V1903" s="21" t="s">
        <v>42</v>
      </c>
      <c r="W1903" s="22">
        <v>17</v>
      </c>
      <c r="X1903" s="23"/>
    </row>
    <row r="1904" spans="1:24" s="1" customFormat="1" ht="26.1" customHeight="1" x14ac:dyDescent="0.3">
      <c r="A1904" s="11" t="s">
        <v>23</v>
      </c>
      <c r="B1904" s="11" t="s">
        <v>2243</v>
      </c>
      <c r="C1904" s="12" t="s">
        <v>2244</v>
      </c>
      <c r="D1904" s="53"/>
      <c r="E1904" s="39" t="str">
        <f>HYPERLINK("https://www.google.ru/search?q=1367770-626&amp;newwindow=1&amp;tbm=isch","Еще фото")</f>
        <v>Еще фото</v>
      </c>
      <c r="F1904" s="13" t="s">
        <v>98</v>
      </c>
      <c r="G1904" s="11" t="s">
        <v>2198</v>
      </c>
      <c r="H1904" s="11" t="s">
        <v>27</v>
      </c>
      <c r="I1904" s="14" t="s">
        <v>2190</v>
      </c>
      <c r="J1904" s="14" t="s">
        <v>29</v>
      </c>
      <c r="K1904" s="15" t="s">
        <v>30</v>
      </c>
      <c r="L1904" s="56" t="s">
        <v>2245</v>
      </c>
      <c r="M1904" s="14" t="s">
        <v>229</v>
      </c>
      <c r="N1904" s="14" t="s">
        <v>670</v>
      </c>
      <c r="O1904" s="14" t="s">
        <v>34</v>
      </c>
      <c r="P1904" s="15" t="s">
        <v>2246</v>
      </c>
      <c r="Q1904" s="16">
        <v>18899</v>
      </c>
      <c r="R1904" s="17">
        <v>58.79</v>
      </c>
      <c r="S1904" s="18">
        <v>8955.9354999999996</v>
      </c>
      <c r="T1904" s="19" t="s">
        <v>36</v>
      </c>
      <c r="U1904" s="20" t="s">
        <v>37</v>
      </c>
      <c r="V1904" s="21" t="s">
        <v>38</v>
      </c>
      <c r="W1904" s="22">
        <v>4</v>
      </c>
      <c r="X1904" s="23"/>
    </row>
    <row r="1905" spans="1:24" s="1" customFormat="1" ht="26.1" customHeight="1" x14ac:dyDescent="0.3">
      <c r="A1905" s="24" t="s">
        <v>23</v>
      </c>
      <c r="B1905" s="24" t="s">
        <v>2243</v>
      </c>
      <c r="C1905" s="12" t="s">
        <v>2244</v>
      </c>
      <c r="D1905" s="54"/>
      <c r="E1905" s="39" t="str">
        <f>HYPERLINK("https://www.google.ru/search?q=1367770-626&amp;newwindow=1&amp;tbm=isch","Еще фото")</f>
        <v>Еще фото</v>
      </c>
      <c r="F1905" s="13" t="s">
        <v>98</v>
      </c>
      <c r="G1905" s="24" t="s">
        <v>2198</v>
      </c>
      <c r="H1905" s="24" t="s">
        <v>27</v>
      </c>
      <c r="I1905" s="24" t="s">
        <v>2190</v>
      </c>
      <c r="J1905" s="14" t="s">
        <v>29</v>
      </c>
      <c r="K1905" s="15" t="s">
        <v>30</v>
      </c>
      <c r="L1905" s="57"/>
      <c r="M1905" s="14" t="s">
        <v>229</v>
      </c>
      <c r="N1905" s="14" t="s">
        <v>670</v>
      </c>
      <c r="O1905" s="14" t="s">
        <v>34</v>
      </c>
      <c r="P1905" s="15" t="s">
        <v>2246</v>
      </c>
      <c r="Q1905" s="16">
        <v>18899</v>
      </c>
      <c r="R1905" s="17">
        <v>58.79</v>
      </c>
      <c r="S1905" s="18">
        <v>8955.9354999999996</v>
      </c>
      <c r="T1905" s="19" t="s">
        <v>36</v>
      </c>
      <c r="U1905" s="20" t="s">
        <v>39</v>
      </c>
      <c r="V1905" s="21" t="s">
        <v>40</v>
      </c>
      <c r="W1905" s="22">
        <v>8</v>
      </c>
      <c r="X1905" s="23"/>
    </row>
    <row r="1906" spans="1:24" s="1" customFormat="1" ht="26.1" customHeight="1" x14ac:dyDescent="0.3">
      <c r="A1906" s="24" t="s">
        <v>23</v>
      </c>
      <c r="B1906" s="24" t="s">
        <v>2243</v>
      </c>
      <c r="C1906" s="12" t="s">
        <v>2244</v>
      </c>
      <c r="D1906" s="54"/>
      <c r="E1906" s="39" t="str">
        <f>HYPERLINK("https://www.google.ru/search?q=1367770-626&amp;newwindow=1&amp;tbm=isch","Еще фото")</f>
        <v>Еще фото</v>
      </c>
      <c r="F1906" s="13" t="s">
        <v>98</v>
      </c>
      <c r="G1906" s="24" t="s">
        <v>2198</v>
      </c>
      <c r="H1906" s="24" t="s">
        <v>27</v>
      </c>
      <c r="I1906" s="24" t="s">
        <v>2190</v>
      </c>
      <c r="J1906" s="14" t="s">
        <v>29</v>
      </c>
      <c r="K1906" s="15" t="s">
        <v>30</v>
      </c>
      <c r="L1906" s="57"/>
      <c r="M1906" s="14" t="s">
        <v>229</v>
      </c>
      <c r="N1906" s="14" t="s">
        <v>670</v>
      </c>
      <c r="O1906" s="14" t="s">
        <v>34</v>
      </c>
      <c r="P1906" s="15" t="s">
        <v>2246</v>
      </c>
      <c r="Q1906" s="16">
        <v>18899</v>
      </c>
      <c r="R1906" s="17">
        <v>58.79</v>
      </c>
      <c r="S1906" s="18">
        <v>8955.9354999999996</v>
      </c>
      <c r="T1906" s="19" t="s">
        <v>36</v>
      </c>
      <c r="U1906" s="20" t="s">
        <v>41</v>
      </c>
      <c r="V1906" s="21" t="s">
        <v>42</v>
      </c>
      <c r="W1906" s="22">
        <v>19</v>
      </c>
      <c r="X1906" s="23"/>
    </row>
    <row r="1907" spans="1:24" s="1" customFormat="1" ht="26.1" customHeight="1" x14ac:dyDescent="0.3">
      <c r="A1907" s="24" t="s">
        <v>23</v>
      </c>
      <c r="B1907" s="24" t="s">
        <v>2243</v>
      </c>
      <c r="C1907" s="12" t="s">
        <v>2244</v>
      </c>
      <c r="D1907" s="55"/>
      <c r="E1907" s="39" t="str">
        <f>HYPERLINK("https://www.google.ru/search?q=1367770-626&amp;newwindow=1&amp;tbm=isch","Еще фото")</f>
        <v>Еще фото</v>
      </c>
      <c r="F1907" s="13" t="s">
        <v>98</v>
      </c>
      <c r="G1907" s="24" t="s">
        <v>2198</v>
      </c>
      <c r="H1907" s="24" t="s">
        <v>27</v>
      </c>
      <c r="I1907" s="24" t="s">
        <v>2190</v>
      </c>
      <c r="J1907" s="14" t="s">
        <v>29</v>
      </c>
      <c r="K1907" s="15" t="s">
        <v>30</v>
      </c>
      <c r="L1907" s="58"/>
      <c r="M1907" s="14" t="s">
        <v>229</v>
      </c>
      <c r="N1907" s="14" t="s">
        <v>670</v>
      </c>
      <c r="O1907" s="14" t="s">
        <v>34</v>
      </c>
      <c r="P1907" s="15" t="s">
        <v>2246</v>
      </c>
      <c r="Q1907" s="16">
        <v>18899</v>
      </c>
      <c r="R1907" s="17">
        <v>58.79</v>
      </c>
      <c r="S1907" s="18">
        <v>8955.9354999999996</v>
      </c>
      <c r="T1907" s="19" t="s">
        <v>36</v>
      </c>
      <c r="U1907" s="20" t="s">
        <v>43</v>
      </c>
      <c r="V1907" s="21" t="s">
        <v>44</v>
      </c>
      <c r="W1907" s="22">
        <v>5</v>
      </c>
      <c r="X1907" s="23"/>
    </row>
    <row r="1908" spans="1:24" s="1" customFormat="1" ht="35.1" customHeight="1" x14ac:dyDescent="0.3">
      <c r="A1908" s="11" t="s">
        <v>23</v>
      </c>
      <c r="B1908" s="11" t="s">
        <v>2247</v>
      </c>
      <c r="C1908" s="12" t="s">
        <v>2248</v>
      </c>
      <c r="D1908" s="53"/>
      <c r="E1908" s="39" t="str">
        <f>HYPERLINK("https://www.google.ru/search?q=6003978-001&amp;newwindow=1&amp;tbm=isch","Еще фото")</f>
        <v>Еще фото</v>
      </c>
      <c r="F1908" s="13"/>
      <c r="G1908" s="11" t="s">
        <v>2202</v>
      </c>
      <c r="H1908" s="11" t="s">
        <v>27</v>
      </c>
      <c r="I1908" s="14" t="s">
        <v>2190</v>
      </c>
      <c r="J1908" s="14" t="s">
        <v>47</v>
      </c>
      <c r="K1908" s="15" t="s">
        <v>30</v>
      </c>
      <c r="L1908" s="56" t="s">
        <v>2249</v>
      </c>
      <c r="M1908" s="14" t="s">
        <v>32</v>
      </c>
      <c r="N1908" s="14" t="s">
        <v>33</v>
      </c>
      <c r="O1908" s="14"/>
      <c r="P1908" s="15" t="s">
        <v>492</v>
      </c>
      <c r="Q1908" s="16">
        <v>16599</v>
      </c>
      <c r="R1908" s="17">
        <v>56.52</v>
      </c>
      <c r="S1908" s="18">
        <v>8300.4354999999996</v>
      </c>
      <c r="T1908" s="19" t="s">
        <v>36</v>
      </c>
      <c r="U1908" s="20" t="s">
        <v>37</v>
      </c>
      <c r="V1908" s="21" t="s">
        <v>38</v>
      </c>
      <c r="W1908" s="22">
        <v>2</v>
      </c>
      <c r="X1908" s="23"/>
    </row>
    <row r="1909" spans="1:24" s="1" customFormat="1" ht="35.1" customHeight="1" x14ac:dyDescent="0.3">
      <c r="A1909" s="24" t="s">
        <v>23</v>
      </c>
      <c r="B1909" s="24" t="s">
        <v>2247</v>
      </c>
      <c r="C1909" s="12" t="s">
        <v>2248</v>
      </c>
      <c r="D1909" s="54"/>
      <c r="E1909" s="39" t="str">
        <f>HYPERLINK("https://www.google.ru/search?q=6003978-001&amp;newwindow=1&amp;tbm=isch","Еще фото")</f>
        <v>Еще фото</v>
      </c>
      <c r="F1909" s="13"/>
      <c r="G1909" s="24" t="s">
        <v>2202</v>
      </c>
      <c r="H1909" s="24" t="s">
        <v>27</v>
      </c>
      <c r="I1909" s="24" t="s">
        <v>2190</v>
      </c>
      <c r="J1909" s="14" t="s">
        <v>47</v>
      </c>
      <c r="K1909" s="15" t="s">
        <v>30</v>
      </c>
      <c r="L1909" s="57"/>
      <c r="M1909" s="14" t="s">
        <v>32</v>
      </c>
      <c r="N1909" s="14" t="s">
        <v>33</v>
      </c>
      <c r="O1909" s="14"/>
      <c r="P1909" s="15" t="s">
        <v>492</v>
      </c>
      <c r="Q1909" s="16">
        <v>16599</v>
      </c>
      <c r="R1909" s="17">
        <v>56.52</v>
      </c>
      <c r="S1909" s="18">
        <v>8300.4354999999996</v>
      </c>
      <c r="T1909" s="19" t="s">
        <v>36</v>
      </c>
      <c r="U1909" s="20" t="s">
        <v>39</v>
      </c>
      <c r="V1909" s="21" t="s">
        <v>40</v>
      </c>
      <c r="W1909" s="22">
        <v>8</v>
      </c>
      <c r="X1909" s="23"/>
    </row>
    <row r="1910" spans="1:24" s="1" customFormat="1" ht="36.950000000000003" customHeight="1" x14ac:dyDescent="0.3">
      <c r="A1910" s="24" t="s">
        <v>23</v>
      </c>
      <c r="B1910" s="24" t="s">
        <v>2247</v>
      </c>
      <c r="C1910" s="12" t="s">
        <v>2248</v>
      </c>
      <c r="D1910" s="55"/>
      <c r="E1910" s="39" t="str">
        <f>HYPERLINK("https://www.google.ru/search?q=6003978-001&amp;newwindow=1&amp;tbm=isch","Еще фото")</f>
        <v>Еще фото</v>
      </c>
      <c r="F1910" s="13"/>
      <c r="G1910" s="24" t="s">
        <v>2202</v>
      </c>
      <c r="H1910" s="24" t="s">
        <v>27</v>
      </c>
      <c r="I1910" s="24" t="s">
        <v>2190</v>
      </c>
      <c r="J1910" s="14" t="s">
        <v>47</v>
      </c>
      <c r="K1910" s="15" t="s">
        <v>30</v>
      </c>
      <c r="L1910" s="58"/>
      <c r="M1910" s="14" t="s">
        <v>32</v>
      </c>
      <c r="N1910" s="14" t="s">
        <v>33</v>
      </c>
      <c r="O1910" s="14"/>
      <c r="P1910" s="15" t="s">
        <v>492</v>
      </c>
      <c r="Q1910" s="16">
        <v>16599</v>
      </c>
      <c r="R1910" s="17">
        <v>56.52</v>
      </c>
      <c r="S1910" s="18">
        <v>8300.4354999999996</v>
      </c>
      <c r="T1910" s="19" t="s">
        <v>36</v>
      </c>
      <c r="U1910" s="20" t="s">
        <v>41</v>
      </c>
      <c r="V1910" s="21" t="s">
        <v>42</v>
      </c>
      <c r="W1910" s="22">
        <v>15</v>
      </c>
      <c r="X1910" s="23"/>
    </row>
    <row r="1911" spans="1:24" s="1" customFormat="1" ht="21" customHeight="1" x14ac:dyDescent="0.3">
      <c r="A1911" s="11" t="s">
        <v>23</v>
      </c>
      <c r="B1911" s="11" t="s">
        <v>2250</v>
      </c>
      <c r="C1911" s="26" t="s">
        <v>2251</v>
      </c>
      <c r="D1911" s="53"/>
      <c r="E1911" s="39" t="str">
        <f>HYPERLINK("https://www.google.ru/search?q=1373353-025&amp;newwindow=1&amp;tbm=isch","Еще фото")</f>
        <v>Еще фото</v>
      </c>
      <c r="F1911" s="13" t="s">
        <v>98</v>
      </c>
      <c r="G1911" s="11" t="s">
        <v>2198</v>
      </c>
      <c r="H1911" s="11" t="s">
        <v>27</v>
      </c>
      <c r="I1911" s="14" t="s">
        <v>2190</v>
      </c>
      <c r="J1911" s="14" t="s">
        <v>29</v>
      </c>
      <c r="K1911" s="15" t="s">
        <v>30</v>
      </c>
      <c r="L1911" s="56" t="s">
        <v>2252</v>
      </c>
      <c r="M1911" s="14"/>
      <c r="N1911" s="14" t="s">
        <v>84</v>
      </c>
      <c r="O1911" s="14"/>
      <c r="P1911" s="15" t="s">
        <v>51</v>
      </c>
      <c r="Q1911" s="16">
        <v>7699</v>
      </c>
      <c r="R1911" s="17">
        <v>56.52</v>
      </c>
      <c r="S1911" s="18">
        <v>3849.9354999999996</v>
      </c>
      <c r="T1911" s="19" t="s">
        <v>36</v>
      </c>
      <c r="U1911" s="20" t="s">
        <v>37</v>
      </c>
      <c r="V1911" s="21" t="s">
        <v>38</v>
      </c>
      <c r="W1911" s="22">
        <v>12</v>
      </c>
      <c r="X1911" s="23"/>
    </row>
    <row r="1912" spans="1:24" s="1" customFormat="1" ht="21" customHeight="1" x14ac:dyDescent="0.3">
      <c r="A1912" s="24" t="s">
        <v>23</v>
      </c>
      <c r="B1912" s="24" t="s">
        <v>2250</v>
      </c>
      <c r="C1912" s="27" t="s">
        <v>2251</v>
      </c>
      <c r="D1912" s="54"/>
      <c r="E1912" s="39" t="str">
        <f>HYPERLINK("https://www.google.ru/search?q=1373353-025&amp;newwindow=1&amp;tbm=isch","Еще фото")</f>
        <v>Еще фото</v>
      </c>
      <c r="F1912" s="13" t="s">
        <v>98</v>
      </c>
      <c r="G1912" s="24" t="s">
        <v>2198</v>
      </c>
      <c r="H1912" s="24" t="s">
        <v>27</v>
      </c>
      <c r="I1912" s="24" t="s">
        <v>2190</v>
      </c>
      <c r="J1912" s="14" t="s">
        <v>29</v>
      </c>
      <c r="K1912" s="15" t="s">
        <v>30</v>
      </c>
      <c r="L1912" s="57"/>
      <c r="M1912" s="14"/>
      <c r="N1912" s="14" t="s">
        <v>84</v>
      </c>
      <c r="O1912" s="14"/>
      <c r="P1912" s="15" t="s">
        <v>51</v>
      </c>
      <c r="Q1912" s="16">
        <v>7699</v>
      </c>
      <c r="R1912" s="17">
        <v>56.52</v>
      </c>
      <c r="S1912" s="18">
        <v>3849.9354999999996</v>
      </c>
      <c r="T1912" s="19" t="s">
        <v>36</v>
      </c>
      <c r="U1912" s="20" t="s">
        <v>39</v>
      </c>
      <c r="V1912" s="21" t="s">
        <v>40</v>
      </c>
      <c r="W1912" s="22">
        <v>11</v>
      </c>
      <c r="X1912" s="23"/>
    </row>
    <row r="1913" spans="1:24" s="1" customFormat="1" ht="21" customHeight="1" x14ac:dyDescent="0.3">
      <c r="A1913" s="24" t="s">
        <v>23</v>
      </c>
      <c r="B1913" s="24" t="s">
        <v>2250</v>
      </c>
      <c r="C1913" s="27" t="s">
        <v>2251</v>
      </c>
      <c r="D1913" s="54"/>
      <c r="E1913" s="39" t="str">
        <f>HYPERLINK("https://www.google.ru/search?q=1373353-025&amp;newwindow=1&amp;tbm=isch","Еще фото")</f>
        <v>Еще фото</v>
      </c>
      <c r="F1913" s="13" t="s">
        <v>98</v>
      </c>
      <c r="G1913" s="24" t="s">
        <v>2198</v>
      </c>
      <c r="H1913" s="24" t="s">
        <v>27</v>
      </c>
      <c r="I1913" s="24" t="s">
        <v>2190</v>
      </c>
      <c r="J1913" s="14" t="s">
        <v>29</v>
      </c>
      <c r="K1913" s="15" t="s">
        <v>30</v>
      </c>
      <c r="L1913" s="57"/>
      <c r="M1913" s="14"/>
      <c r="N1913" s="14" t="s">
        <v>84</v>
      </c>
      <c r="O1913" s="14"/>
      <c r="P1913" s="15" t="s">
        <v>51</v>
      </c>
      <c r="Q1913" s="16">
        <v>7699</v>
      </c>
      <c r="R1913" s="17">
        <v>56.52</v>
      </c>
      <c r="S1913" s="18">
        <v>3849.9354999999996</v>
      </c>
      <c r="T1913" s="19" t="s">
        <v>36</v>
      </c>
      <c r="U1913" s="20" t="s">
        <v>41</v>
      </c>
      <c r="V1913" s="21" t="s">
        <v>42</v>
      </c>
      <c r="W1913" s="22">
        <v>27</v>
      </c>
      <c r="X1913" s="23"/>
    </row>
    <row r="1914" spans="1:24" s="1" customFormat="1" ht="21" customHeight="1" x14ac:dyDescent="0.3">
      <c r="A1914" s="24" t="s">
        <v>23</v>
      </c>
      <c r="B1914" s="24" t="s">
        <v>2250</v>
      </c>
      <c r="C1914" s="27" t="s">
        <v>2251</v>
      </c>
      <c r="D1914" s="54"/>
      <c r="E1914" s="39" t="str">
        <f>HYPERLINK("https://www.google.ru/search?q=1373353-025&amp;newwindow=1&amp;tbm=isch","Еще фото")</f>
        <v>Еще фото</v>
      </c>
      <c r="F1914" s="13" t="s">
        <v>98</v>
      </c>
      <c r="G1914" s="24" t="s">
        <v>2198</v>
      </c>
      <c r="H1914" s="24" t="s">
        <v>27</v>
      </c>
      <c r="I1914" s="24" t="s">
        <v>2190</v>
      </c>
      <c r="J1914" s="14" t="s">
        <v>29</v>
      </c>
      <c r="K1914" s="15" t="s">
        <v>30</v>
      </c>
      <c r="L1914" s="57"/>
      <c r="M1914" s="14"/>
      <c r="N1914" s="14" t="s">
        <v>84</v>
      </c>
      <c r="O1914" s="14"/>
      <c r="P1914" s="15" t="s">
        <v>51</v>
      </c>
      <c r="Q1914" s="16">
        <v>7699</v>
      </c>
      <c r="R1914" s="17">
        <v>56.52</v>
      </c>
      <c r="S1914" s="18">
        <v>3849.9354999999996</v>
      </c>
      <c r="T1914" s="19" t="s">
        <v>36</v>
      </c>
      <c r="U1914" s="20" t="s">
        <v>43</v>
      </c>
      <c r="V1914" s="21" t="s">
        <v>44</v>
      </c>
      <c r="W1914" s="22">
        <v>10</v>
      </c>
      <c r="X1914" s="23"/>
    </row>
    <row r="1915" spans="1:24" s="1" customFormat="1" ht="32.1" customHeight="1" x14ac:dyDescent="0.3">
      <c r="A1915" s="24" t="s">
        <v>23</v>
      </c>
      <c r="B1915" s="24" t="s">
        <v>2250</v>
      </c>
      <c r="C1915" s="27" t="s">
        <v>2251</v>
      </c>
      <c r="D1915" s="55"/>
      <c r="E1915" s="39" t="str">
        <f>HYPERLINK("https://www.google.ru/search?q=1373353-025&amp;newwindow=1&amp;tbm=isch","Еще фото")</f>
        <v>Еще фото</v>
      </c>
      <c r="F1915" s="13" t="s">
        <v>98</v>
      </c>
      <c r="G1915" s="24" t="s">
        <v>2198</v>
      </c>
      <c r="H1915" s="24" t="s">
        <v>27</v>
      </c>
      <c r="I1915" s="24" t="s">
        <v>2190</v>
      </c>
      <c r="J1915" s="14" t="s">
        <v>29</v>
      </c>
      <c r="K1915" s="15" t="s">
        <v>30</v>
      </c>
      <c r="L1915" s="58"/>
      <c r="M1915" s="14"/>
      <c r="N1915" s="14" t="s">
        <v>84</v>
      </c>
      <c r="O1915" s="14"/>
      <c r="P1915" s="15" t="s">
        <v>51</v>
      </c>
      <c r="Q1915" s="16">
        <v>7699</v>
      </c>
      <c r="R1915" s="17">
        <v>56.52</v>
      </c>
      <c r="S1915" s="18">
        <v>3849.9354999999996</v>
      </c>
      <c r="T1915" s="19" t="s">
        <v>36</v>
      </c>
      <c r="U1915" s="20" t="s">
        <v>104</v>
      </c>
      <c r="V1915" s="21" t="s">
        <v>105</v>
      </c>
      <c r="W1915" s="22">
        <v>2</v>
      </c>
      <c r="X1915" s="23"/>
    </row>
    <row r="1916" spans="1:24" s="1" customFormat="1" ht="26.1" customHeight="1" x14ac:dyDescent="0.3">
      <c r="A1916" s="11" t="s">
        <v>23</v>
      </c>
      <c r="B1916" s="11" t="s">
        <v>2253</v>
      </c>
      <c r="C1916" s="12" t="s">
        <v>2254</v>
      </c>
      <c r="D1916" s="53"/>
      <c r="E1916" s="39" t="str">
        <f>HYPERLINK("https://www.google.ru/search?q=1371095-003&amp;newwindow=1&amp;tbm=isch","Еще фото")</f>
        <v>Еще фото</v>
      </c>
      <c r="F1916" s="13"/>
      <c r="G1916" s="11" t="s">
        <v>2202</v>
      </c>
      <c r="H1916" s="11" t="s">
        <v>27</v>
      </c>
      <c r="I1916" s="14" t="s">
        <v>2190</v>
      </c>
      <c r="J1916" s="14" t="s">
        <v>29</v>
      </c>
      <c r="K1916" s="15" t="s">
        <v>54</v>
      </c>
      <c r="L1916" s="56" t="s">
        <v>2255</v>
      </c>
      <c r="M1916" s="14"/>
      <c r="N1916" s="14" t="s">
        <v>1133</v>
      </c>
      <c r="O1916" s="14"/>
      <c r="P1916" s="15" t="s">
        <v>51</v>
      </c>
      <c r="Q1916" s="16">
        <v>11499</v>
      </c>
      <c r="R1916" s="17">
        <v>55.75</v>
      </c>
      <c r="S1916" s="18">
        <v>5850.9355000000005</v>
      </c>
      <c r="T1916" s="19" t="s">
        <v>36</v>
      </c>
      <c r="U1916" s="20" t="s">
        <v>114</v>
      </c>
      <c r="V1916" s="21" t="s">
        <v>115</v>
      </c>
      <c r="W1916" s="22">
        <v>2</v>
      </c>
      <c r="X1916" s="23"/>
    </row>
    <row r="1917" spans="1:24" s="1" customFormat="1" ht="26.1" customHeight="1" x14ac:dyDescent="0.3">
      <c r="A1917" s="24" t="s">
        <v>23</v>
      </c>
      <c r="B1917" s="24" t="s">
        <v>2253</v>
      </c>
      <c r="C1917" s="12" t="s">
        <v>2254</v>
      </c>
      <c r="D1917" s="54"/>
      <c r="E1917" s="39" t="str">
        <f>HYPERLINK("https://www.google.ru/search?q=1371095-003&amp;newwindow=1&amp;tbm=isch","Еще фото")</f>
        <v>Еще фото</v>
      </c>
      <c r="F1917" s="13"/>
      <c r="G1917" s="24" t="s">
        <v>2202</v>
      </c>
      <c r="H1917" s="24" t="s">
        <v>27</v>
      </c>
      <c r="I1917" s="24" t="s">
        <v>2190</v>
      </c>
      <c r="J1917" s="14" t="s">
        <v>29</v>
      </c>
      <c r="K1917" s="15" t="s">
        <v>54</v>
      </c>
      <c r="L1917" s="57"/>
      <c r="M1917" s="14"/>
      <c r="N1917" s="14" t="s">
        <v>1133</v>
      </c>
      <c r="O1917" s="14"/>
      <c r="P1917" s="15" t="s">
        <v>51</v>
      </c>
      <c r="Q1917" s="16">
        <v>11499</v>
      </c>
      <c r="R1917" s="17">
        <v>55.75</v>
      </c>
      <c r="S1917" s="18">
        <v>5850.9355000000005</v>
      </c>
      <c r="T1917" s="19" t="s">
        <v>36</v>
      </c>
      <c r="U1917" s="20" t="s">
        <v>126</v>
      </c>
      <c r="V1917" s="21" t="s">
        <v>127</v>
      </c>
      <c r="W1917" s="22">
        <v>3</v>
      </c>
      <c r="X1917" s="23"/>
    </row>
    <row r="1918" spans="1:24" s="1" customFormat="1" ht="26.1" customHeight="1" x14ac:dyDescent="0.3">
      <c r="A1918" s="24" t="s">
        <v>23</v>
      </c>
      <c r="B1918" s="24" t="s">
        <v>2253</v>
      </c>
      <c r="C1918" s="12" t="s">
        <v>2254</v>
      </c>
      <c r="D1918" s="54"/>
      <c r="E1918" s="39" t="str">
        <f>HYPERLINK("https://www.google.ru/search?q=1371095-003&amp;newwindow=1&amp;tbm=isch","Еще фото")</f>
        <v>Еще фото</v>
      </c>
      <c r="F1918" s="13"/>
      <c r="G1918" s="24" t="s">
        <v>2202</v>
      </c>
      <c r="H1918" s="24" t="s">
        <v>27</v>
      </c>
      <c r="I1918" s="24" t="s">
        <v>2190</v>
      </c>
      <c r="J1918" s="14" t="s">
        <v>29</v>
      </c>
      <c r="K1918" s="15" t="s">
        <v>54</v>
      </c>
      <c r="L1918" s="57"/>
      <c r="M1918" s="14"/>
      <c r="N1918" s="14" t="s">
        <v>1133</v>
      </c>
      <c r="O1918" s="14"/>
      <c r="P1918" s="15" t="s">
        <v>51</v>
      </c>
      <c r="Q1918" s="16">
        <v>11499</v>
      </c>
      <c r="R1918" s="17">
        <v>55.75</v>
      </c>
      <c r="S1918" s="18">
        <v>5850.9355000000005</v>
      </c>
      <c r="T1918" s="19" t="s">
        <v>36</v>
      </c>
      <c r="U1918" s="20" t="s">
        <v>128</v>
      </c>
      <c r="V1918" s="21" t="s">
        <v>129</v>
      </c>
      <c r="W1918" s="22">
        <v>1</v>
      </c>
      <c r="X1918" s="23"/>
    </row>
    <row r="1919" spans="1:24" s="1" customFormat="1" ht="26.1" customHeight="1" x14ac:dyDescent="0.3">
      <c r="A1919" s="24" t="s">
        <v>23</v>
      </c>
      <c r="B1919" s="24" t="s">
        <v>2253</v>
      </c>
      <c r="C1919" s="12" t="s">
        <v>2254</v>
      </c>
      <c r="D1919" s="55"/>
      <c r="E1919" s="39" t="str">
        <f>HYPERLINK("https://www.google.ru/search?q=1371095-003&amp;newwindow=1&amp;tbm=isch","Еще фото")</f>
        <v>Еще фото</v>
      </c>
      <c r="F1919" s="13"/>
      <c r="G1919" s="24" t="s">
        <v>2202</v>
      </c>
      <c r="H1919" s="24" t="s">
        <v>27</v>
      </c>
      <c r="I1919" s="24" t="s">
        <v>2190</v>
      </c>
      <c r="J1919" s="14" t="s">
        <v>29</v>
      </c>
      <c r="K1919" s="15" t="s">
        <v>54</v>
      </c>
      <c r="L1919" s="58"/>
      <c r="M1919" s="14"/>
      <c r="N1919" s="14" t="s">
        <v>1133</v>
      </c>
      <c r="O1919" s="14"/>
      <c r="P1919" s="15" t="s">
        <v>51</v>
      </c>
      <c r="Q1919" s="16">
        <v>11499</v>
      </c>
      <c r="R1919" s="17">
        <v>55.75</v>
      </c>
      <c r="S1919" s="18">
        <v>5850.9355000000005</v>
      </c>
      <c r="T1919" s="19" t="s">
        <v>36</v>
      </c>
      <c r="U1919" s="20" t="s">
        <v>130</v>
      </c>
      <c r="V1919" s="21" t="s">
        <v>131</v>
      </c>
      <c r="W1919" s="22">
        <v>2</v>
      </c>
      <c r="X1919" s="23"/>
    </row>
    <row r="1920" spans="1:24" s="1" customFormat="1" ht="26.1" customHeight="1" x14ac:dyDescent="0.3">
      <c r="A1920" s="11" t="s">
        <v>23</v>
      </c>
      <c r="B1920" s="11" t="s">
        <v>2256</v>
      </c>
      <c r="C1920" s="12" t="s">
        <v>2257</v>
      </c>
      <c r="D1920" s="53"/>
      <c r="E1920" s="39" t="str">
        <f>HYPERLINK("https://www.google.ru/search?q=1383302-686&amp;newwindow=1&amp;tbm=isch","Еще фото")</f>
        <v>Еще фото</v>
      </c>
      <c r="F1920" s="13"/>
      <c r="G1920" s="11" t="s">
        <v>2258</v>
      </c>
      <c r="H1920" s="11" t="s">
        <v>27</v>
      </c>
      <c r="I1920" s="14" t="s">
        <v>2190</v>
      </c>
      <c r="J1920" s="14" t="s">
        <v>29</v>
      </c>
      <c r="K1920" s="15" t="s">
        <v>30</v>
      </c>
      <c r="L1920" s="56" t="s">
        <v>2259</v>
      </c>
      <c r="M1920" s="14"/>
      <c r="N1920" s="14" t="s">
        <v>57</v>
      </c>
      <c r="O1920" s="14"/>
      <c r="P1920" s="15" t="s">
        <v>113</v>
      </c>
      <c r="Q1920" s="16">
        <v>13699</v>
      </c>
      <c r="R1920" s="17">
        <v>55.71</v>
      </c>
      <c r="S1920" s="18">
        <v>6977.9354999999996</v>
      </c>
      <c r="T1920" s="19" t="s">
        <v>36</v>
      </c>
      <c r="U1920" s="20" t="s">
        <v>37</v>
      </c>
      <c r="V1920" s="21" t="s">
        <v>38</v>
      </c>
      <c r="W1920" s="22">
        <v>2</v>
      </c>
      <c r="X1920" s="23"/>
    </row>
    <row r="1921" spans="1:24" s="1" customFormat="1" ht="26.1" customHeight="1" x14ac:dyDescent="0.3">
      <c r="A1921" s="24" t="s">
        <v>23</v>
      </c>
      <c r="B1921" s="24" t="s">
        <v>2256</v>
      </c>
      <c r="C1921" s="12" t="s">
        <v>2257</v>
      </c>
      <c r="D1921" s="54"/>
      <c r="E1921" s="39" t="str">
        <f>HYPERLINK("https://www.google.ru/search?q=1383302-686&amp;newwindow=1&amp;tbm=isch","Еще фото")</f>
        <v>Еще фото</v>
      </c>
      <c r="F1921" s="13"/>
      <c r="G1921" s="24" t="s">
        <v>2258</v>
      </c>
      <c r="H1921" s="24" t="s">
        <v>27</v>
      </c>
      <c r="I1921" s="24" t="s">
        <v>2190</v>
      </c>
      <c r="J1921" s="14" t="s">
        <v>29</v>
      </c>
      <c r="K1921" s="15" t="s">
        <v>30</v>
      </c>
      <c r="L1921" s="57"/>
      <c r="M1921" s="14"/>
      <c r="N1921" s="14" t="s">
        <v>57</v>
      </c>
      <c r="O1921" s="14"/>
      <c r="P1921" s="15" t="s">
        <v>113</v>
      </c>
      <c r="Q1921" s="16">
        <v>13699</v>
      </c>
      <c r="R1921" s="17">
        <v>55.71</v>
      </c>
      <c r="S1921" s="18">
        <v>6977.9354999999996</v>
      </c>
      <c r="T1921" s="19" t="s">
        <v>36</v>
      </c>
      <c r="U1921" s="20" t="s">
        <v>39</v>
      </c>
      <c r="V1921" s="21" t="s">
        <v>40</v>
      </c>
      <c r="W1921" s="22">
        <v>3</v>
      </c>
      <c r="X1921" s="23"/>
    </row>
    <row r="1922" spans="1:24" s="1" customFormat="1" ht="26.1" customHeight="1" x14ac:dyDescent="0.3">
      <c r="A1922" s="24" t="s">
        <v>23</v>
      </c>
      <c r="B1922" s="24" t="s">
        <v>2256</v>
      </c>
      <c r="C1922" s="12" t="s">
        <v>2257</v>
      </c>
      <c r="D1922" s="54"/>
      <c r="E1922" s="39" t="str">
        <f>HYPERLINK("https://www.google.ru/search?q=1383302-686&amp;newwindow=1&amp;tbm=isch","Еще фото")</f>
        <v>Еще фото</v>
      </c>
      <c r="F1922" s="13"/>
      <c r="G1922" s="24" t="s">
        <v>2258</v>
      </c>
      <c r="H1922" s="24" t="s">
        <v>27</v>
      </c>
      <c r="I1922" s="24" t="s">
        <v>2190</v>
      </c>
      <c r="J1922" s="14" t="s">
        <v>29</v>
      </c>
      <c r="K1922" s="15" t="s">
        <v>30</v>
      </c>
      <c r="L1922" s="57"/>
      <c r="M1922" s="14"/>
      <c r="N1922" s="14" t="s">
        <v>57</v>
      </c>
      <c r="O1922" s="14"/>
      <c r="P1922" s="15" t="s">
        <v>113</v>
      </c>
      <c r="Q1922" s="16">
        <v>13699</v>
      </c>
      <c r="R1922" s="17">
        <v>55.71</v>
      </c>
      <c r="S1922" s="18">
        <v>6977.9354999999996</v>
      </c>
      <c r="T1922" s="19" t="s">
        <v>36</v>
      </c>
      <c r="U1922" s="20" t="s">
        <v>41</v>
      </c>
      <c r="V1922" s="21" t="s">
        <v>42</v>
      </c>
      <c r="W1922" s="22">
        <v>4</v>
      </c>
      <c r="X1922" s="23"/>
    </row>
    <row r="1923" spans="1:24" s="1" customFormat="1" ht="26.1" customHeight="1" x14ac:dyDescent="0.3">
      <c r="A1923" s="24" t="s">
        <v>23</v>
      </c>
      <c r="B1923" s="24" t="s">
        <v>2256</v>
      </c>
      <c r="C1923" s="12" t="s">
        <v>2257</v>
      </c>
      <c r="D1923" s="55"/>
      <c r="E1923" s="39" t="str">
        <f>HYPERLINK("https://www.google.ru/search?q=1383302-686&amp;newwindow=1&amp;tbm=isch","Еще фото")</f>
        <v>Еще фото</v>
      </c>
      <c r="F1923" s="13"/>
      <c r="G1923" s="24" t="s">
        <v>2258</v>
      </c>
      <c r="H1923" s="24" t="s">
        <v>27</v>
      </c>
      <c r="I1923" s="24" t="s">
        <v>2190</v>
      </c>
      <c r="J1923" s="14" t="s">
        <v>29</v>
      </c>
      <c r="K1923" s="15" t="s">
        <v>30</v>
      </c>
      <c r="L1923" s="58"/>
      <c r="M1923" s="14"/>
      <c r="N1923" s="14" t="s">
        <v>57</v>
      </c>
      <c r="O1923" s="14"/>
      <c r="P1923" s="15" t="s">
        <v>113</v>
      </c>
      <c r="Q1923" s="16">
        <v>13699</v>
      </c>
      <c r="R1923" s="17">
        <v>55.71</v>
      </c>
      <c r="S1923" s="18">
        <v>6977.9354999999996</v>
      </c>
      <c r="T1923" s="19" t="s">
        <v>36</v>
      </c>
      <c r="U1923" s="20" t="s">
        <v>104</v>
      </c>
      <c r="V1923" s="21" t="s">
        <v>105</v>
      </c>
      <c r="W1923" s="22">
        <v>2</v>
      </c>
      <c r="X1923" s="23"/>
    </row>
    <row r="1924" spans="1:24" s="1" customFormat="1" ht="35.1" customHeight="1" x14ac:dyDescent="0.3">
      <c r="A1924" s="11" t="s">
        <v>23</v>
      </c>
      <c r="B1924" s="11" t="s">
        <v>2260</v>
      </c>
      <c r="C1924" s="12" t="s">
        <v>2261</v>
      </c>
      <c r="D1924" s="53"/>
      <c r="E1924" s="39" t="str">
        <f>HYPERLINK("https://www.google.ru/search?q=1379758-400&amp;newwindow=1&amp;tbm=isch","Еще фото")</f>
        <v>Еще фото</v>
      </c>
      <c r="F1924" s="13"/>
      <c r="G1924" s="11" t="s">
        <v>2198</v>
      </c>
      <c r="H1924" s="11" t="s">
        <v>27</v>
      </c>
      <c r="I1924" s="14" t="s">
        <v>2190</v>
      </c>
      <c r="J1924" s="14" t="s">
        <v>29</v>
      </c>
      <c r="K1924" s="15" t="s">
        <v>30</v>
      </c>
      <c r="L1924" s="56" t="s">
        <v>2262</v>
      </c>
      <c r="M1924" s="14" t="s">
        <v>56</v>
      </c>
      <c r="N1924" s="14" t="s">
        <v>2086</v>
      </c>
      <c r="O1924" s="14"/>
      <c r="P1924" s="15" t="s">
        <v>113</v>
      </c>
      <c r="Q1924" s="16">
        <v>8299</v>
      </c>
      <c r="R1924" s="17">
        <v>55.68</v>
      </c>
      <c r="S1924" s="18">
        <v>4229.4354999999996</v>
      </c>
      <c r="T1924" s="19" t="s">
        <v>36</v>
      </c>
      <c r="U1924" s="20" t="s">
        <v>37</v>
      </c>
      <c r="V1924" s="21" t="s">
        <v>38</v>
      </c>
      <c r="W1924" s="22">
        <v>5</v>
      </c>
      <c r="X1924" s="23"/>
    </row>
    <row r="1925" spans="1:24" s="1" customFormat="1" ht="35.1" customHeight="1" x14ac:dyDescent="0.3">
      <c r="A1925" s="24" t="s">
        <v>23</v>
      </c>
      <c r="B1925" s="24" t="s">
        <v>2260</v>
      </c>
      <c r="C1925" s="12" t="s">
        <v>2261</v>
      </c>
      <c r="D1925" s="54"/>
      <c r="E1925" s="39" t="str">
        <f>HYPERLINK("https://www.google.ru/search?q=1379758-400&amp;newwindow=1&amp;tbm=isch","Еще фото")</f>
        <v>Еще фото</v>
      </c>
      <c r="F1925" s="13"/>
      <c r="G1925" s="24" t="s">
        <v>2198</v>
      </c>
      <c r="H1925" s="24" t="s">
        <v>27</v>
      </c>
      <c r="I1925" s="24" t="s">
        <v>2190</v>
      </c>
      <c r="J1925" s="14" t="s">
        <v>29</v>
      </c>
      <c r="K1925" s="15" t="s">
        <v>30</v>
      </c>
      <c r="L1925" s="57"/>
      <c r="M1925" s="14" t="s">
        <v>56</v>
      </c>
      <c r="N1925" s="14" t="s">
        <v>2086</v>
      </c>
      <c r="O1925" s="14"/>
      <c r="P1925" s="15" t="s">
        <v>113</v>
      </c>
      <c r="Q1925" s="16">
        <v>8299</v>
      </c>
      <c r="R1925" s="17">
        <v>55.68</v>
      </c>
      <c r="S1925" s="18">
        <v>4229.4354999999996</v>
      </c>
      <c r="T1925" s="19" t="s">
        <v>36</v>
      </c>
      <c r="U1925" s="20" t="s">
        <v>39</v>
      </c>
      <c r="V1925" s="21" t="s">
        <v>40</v>
      </c>
      <c r="W1925" s="22">
        <v>7</v>
      </c>
      <c r="X1925" s="23"/>
    </row>
    <row r="1926" spans="1:24" s="1" customFormat="1" ht="36.950000000000003" customHeight="1" x14ac:dyDescent="0.3">
      <c r="A1926" s="24" t="s">
        <v>23</v>
      </c>
      <c r="B1926" s="24" t="s">
        <v>2260</v>
      </c>
      <c r="C1926" s="12" t="s">
        <v>2261</v>
      </c>
      <c r="D1926" s="55"/>
      <c r="E1926" s="39" t="str">
        <f>HYPERLINK("https://www.google.ru/search?q=1379758-400&amp;newwindow=1&amp;tbm=isch","Еще фото")</f>
        <v>Еще фото</v>
      </c>
      <c r="F1926" s="13"/>
      <c r="G1926" s="24" t="s">
        <v>2198</v>
      </c>
      <c r="H1926" s="24" t="s">
        <v>27</v>
      </c>
      <c r="I1926" s="24" t="s">
        <v>2190</v>
      </c>
      <c r="J1926" s="14" t="s">
        <v>29</v>
      </c>
      <c r="K1926" s="15" t="s">
        <v>30</v>
      </c>
      <c r="L1926" s="58"/>
      <c r="M1926" s="14" t="s">
        <v>56</v>
      </c>
      <c r="N1926" s="14" t="s">
        <v>2086</v>
      </c>
      <c r="O1926" s="14"/>
      <c r="P1926" s="15" t="s">
        <v>113</v>
      </c>
      <c r="Q1926" s="16">
        <v>8299</v>
      </c>
      <c r="R1926" s="17">
        <v>55.68</v>
      </c>
      <c r="S1926" s="18">
        <v>4229.4354999999996</v>
      </c>
      <c r="T1926" s="19" t="s">
        <v>36</v>
      </c>
      <c r="U1926" s="20" t="s">
        <v>41</v>
      </c>
      <c r="V1926" s="21" t="s">
        <v>42</v>
      </c>
      <c r="W1926" s="22">
        <v>11</v>
      </c>
      <c r="X1926" s="23"/>
    </row>
    <row r="1927" spans="1:24" s="1" customFormat="1" ht="35.1" customHeight="1" x14ac:dyDescent="0.3">
      <c r="A1927" s="11" t="s">
        <v>23</v>
      </c>
      <c r="B1927" s="11" t="s">
        <v>2263</v>
      </c>
      <c r="C1927" s="12" t="s">
        <v>2264</v>
      </c>
      <c r="D1927" s="53"/>
      <c r="E1927" s="39" t="str">
        <f>HYPERLINK("https://www.google.ru/search?q=6003942-390&amp;newwindow=1&amp;tbm=isch","Еще фото")</f>
        <v>Еще фото</v>
      </c>
      <c r="F1927" s="13"/>
      <c r="G1927" s="11" t="s">
        <v>2189</v>
      </c>
      <c r="H1927" s="11" t="s">
        <v>27</v>
      </c>
      <c r="I1927" s="14" t="s">
        <v>2190</v>
      </c>
      <c r="J1927" s="14" t="s">
        <v>47</v>
      </c>
      <c r="K1927" s="15" t="s">
        <v>30</v>
      </c>
      <c r="L1927" s="56" t="s">
        <v>2265</v>
      </c>
      <c r="M1927" s="14"/>
      <c r="N1927" s="14" t="s">
        <v>125</v>
      </c>
      <c r="O1927" s="14"/>
      <c r="P1927" s="15" t="s">
        <v>2266</v>
      </c>
      <c r="Q1927" s="16">
        <v>11099</v>
      </c>
      <c r="R1927" s="17">
        <v>53.26</v>
      </c>
      <c r="S1927" s="18">
        <v>5965.9354999999996</v>
      </c>
      <c r="T1927" s="19" t="s">
        <v>36</v>
      </c>
      <c r="U1927" s="20" t="s">
        <v>37</v>
      </c>
      <c r="V1927" s="21" t="s">
        <v>38</v>
      </c>
      <c r="W1927" s="22">
        <v>3</v>
      </c>
      <c r="X1927" s="23"/>
    </row>
    <row r="1928" spans="1:24" s="1" customFormat="1" ht="35.1" customHeight="1" x14ac:dyDescent="0.3">
      <c r="A1928" s="24" t="s">
        <v>23</v>
      </c>
      <c r="B1928" s="24" t="s">
        <v>2263</v>
      </c>
      <c r="C1928" s="12" t="s">
        <v>2264</v>
      </c>
      <c r="D1928" s="54"/>
      <c r="E1928" s="39" t="str">
        <f>HYPERLINK("https://www.google.ru/search?q=6003942-390&amp;newwindow=1&amp;tbm=isch","Еще фото")</f>
        <v>Еще фото</v>
      </c>
      <c r="F1928" s="13"/>
      <c r="G1928" s="24" t="s">
        <v>2189</v>
      </c>
      <c r="H1928" s="24" t="s">
        <v>27</v>
      </c>
      <c r="I1928" s="24" t="s">
        <v>2190</v>
      </c>
      <c r="J1928" s="14" t="s">
        <v>47</v>
      </c>
      <c r="K1928" s="15" t="s">
        <v>30</v>
      </c>
      <c r="L1928" s="57"/>
      <c r="M1928" s="14"/>
      <c r="N1928" s="14" t="s">
        <v>125</v>
      </c>
      <c r="O1928" s="14"/>
      <c r="P1928" s="15" t="s">
        <v>2266</v>
      </c>
      <c r="Q1928" s="16">
        <v>11099</v>
      </c>
      <c r="R1928" s="17">
        <v>53.26</v>
      </c>
      <c r="S1928" s="18">
        <v>5965.9354999999996</v>
      </c>
      <c r="T1928" s="19" t="s">
        <v>36</v>
      </c>
      <c r="U1928" s="20" t="s">
        <v>39</v>
      </c>
      <c r="V1928" s="21" t="s">
        <v>40</v>
      </c>
      <c r="W1928" s="22">
        <v>1</v>
      </c>
      <c r="X1928" s="23"/>
    </row>
    <row r="1929" spans="1:24" s="1" customFormat="1" ht="36.950000000000003" customHeight="1" x14ac:dyDescent="0.3">
      <c r="A1929" s="24" t="s">
        <v>23</v>
      </c>
      <c r="B1929" s="24" t="s">
        <v>2263</v>
      </c>
      <c r="C1929" s="12" t="s">
        <v>2264</v>
      </c>
      <c r="D1929" s="55"/>
      <c r="E1929" s="39" t="str">
        <f>HYPERLINK("https://www.google.ru/search?q=6003942-390&amp;newwindow=1&amp;tbm=isch","Еще фото")</f>
        <v>Еще фото</v>
      </c>
      <c r="F1929" s="13"/>
      <c r="G1929" s="24" t="s">
        <v>2189</v>
      </c>
      <c r="H1929" s="24" t="s">
        <v>27</v>
      </c>
      <c r="I1929" s="24" t="s">
        <v>2190</v>
      </c>
      <c r="J1929" s="14" t="s">
        <v>47</v>
      </c>
      <c r="K1929" s="15" t="s">
        <v>30</v>
      </c>
      <c r="L1929" s="58"/>
      <c r="M1929" s="14"/>
      <c r="N1929" s="14" t="s">
        <v>125</v>
      </c>
      <c r="O1929" s="14"/>
      <c r="P1929" s="15" t="s">
        <v>2266</v>
      </c>
      <c r="Q1929" s="16">
        <v>11099</v>
      </c>
      <c r="R1929" s="17">
        <v>53.26</v>
      </c>
      <c r="S1929" s="18">
        <v>5965.9354999999996</v>
      </c>
      <c r="T1929" s="19" t="s">
        <v>36</v>
      </c>
      <c r="U1929" s="20" t="s">
        <v>41</v>
      </c>
      <c r="V1929" s="21" t="s">
        <v>42</v>
      </c>
      <c r="W1929" s="22">
        <v>1</v>
      </c>
      <c r="X1929" s="23"/>
    </row>
    <row r="1930" spans="1:24" s="1" customFormat="1" ht="51.95" customHeight="1" x14ac:dyDescent="0.3">
      <c r="A1930" s="11" t="s">
        <v>23</v>
      </c>
      <c r="B1930" s="11" t="s">
        <v>2267</v>
      </c>
      <c r="C1930" s="12" t="s">
        <v>2268</v>
      </c>
      <c r="D1930" s="59"/>
      <c r="E1930" s="39" t="str">
        <f>HYPERLINK("https://www.google.ru/search?q=1390154-390&amp;newwindow=1&amp;tbm=isch","Еще фото")</f>
        <v>Еще фото</v>
      </c>
      <c r="F1930" s="13"/>
      <c r="G1930" s="11" t="s">
        <v>2202</v>
      </c>
      <c r="H1930" s="11" t="s">
        <v>27</v>
      </c>
      <c r="I1930" s="14" t="s">
        <v>2190</v>
      </c>
      <c r="J1930" s="14" t="s">
        <v>47</v>
      </c>
      <c r="K1930" s="15" t="s">
        <v>54</v>
      </c>
      <c r="L1930" s="56" t="s">
        <v>2269</v>
      </c>
      <c r="M1930" s="14"/>
      <c r="N1930" s="14" t="s">
        <v>125</v>
      </c>
      <c r="O1930" s="14"/>
      <c r="P1930" s="15" t="s">
        <v>51</v>
      </c>
      <c r="Q1930" s="16">
        <v>6399</v>
      </c>
      <c r="R1930" s="17">
        <v>53.15</v>
      </c>
      <c r="S1930" s="18">
        <v>3447.4354999999996</v>
      </c>
      <c r="T1930" s="19" t="s">
        <v>36</v>
      </c>
      <c r="U1930" s="20" t="s">
        <v>114</v>
      </c>
      <c r="V1930" s="21" t="s">
        <v>115</v>
      </c>
      <c r="W1930" s="22">
        <v>5</v>
      </c>
      <c r="X1930" s="23"/>
    </row>
    <row r="1931" spans="1:24" s="1" customFormat="1" ht="60.95" customHeight="1" x14ac:dyDescent="0.3">
      <c r="A1931" s="24" t="s">
        <v>23</v>
      </c>
      <c r="B1931" s="24" t="s">
        <v>2267</v>
      </c>
      <c r="C1931" s="12" t="s">
        <v>2268</v>
      </c>
      <c r="D1931" s="60"/>
      <c r="E1931" s="39" t="str">
        <f>HYPERLINK("https://www.google.ru/search?q=1390154-390&amp;newwindow=1&amp;tbm=isch","Еще фото")</f>
        <v>Еще фото</v>
      </c>
      <c r="F1931" s="13"/>
      <c r="G1931" s="24" t="s">
        <v>2202</v>
      </c>
      <c r="H1931" s="24" t="s">
        <v>27</v>
      </c>
      <c r="I1931" s="24" t="s">
        <v>2190</v>
      </c>
      <c r="J1931" s="14" t="s">
        <v>47</v>
      </c>
      <c r="K1931" s="15" t="s">
        <v>54</v>
      </c>
      <c r="L1931" s="58"/>
      <c r="M1931" s="14"/>
      <c r="N1931" s="14" t="s">
        <v>125</v>
      </c>
      <c r="O1931" s="14"/>
      <c r="P1931" s="15" t="s">
        <v>51</v>
      </c>
      <c r="Q1931" s="16">
        <v>6399</v>
      </c>
      <c r="R1931" s="17">
        <v>53.15</v>
      </c>
      <c r="S1931" s="18">
        <v>3447.4354999999996</v>
      </c>
      <c r="T1931" s="19" t="s">
        <v>36</v>
      </c>
      <c r="U1931" s="20" t="s">
        <v>126</v>
      </c>
      <c r="V1931" s="21" t="s">
        <v>127</v>
      </c>
      <c r="W1931" s="22">
        <v>1</v>
      </c>
      <c r="X1931" s="23"/>
    </row>
    <row r="1932" spans="1:24" s="1" customFormat="1" ht="35.1" customHeight="1" x14ac:dyDescent="0.3">
      <c r="A1932" s="11" t="s">
        <v>23</v>
      </c>
      <c r="B1932" s="11" t="s">
        <v>2270</v>
      </c>
      <c r="C1932" s="12" t="s">
        <v>2271</v>
      </c>
      <c r="D1932" s="53"/>
      <c r="E1932" s="39" t="str">
        <f>HYPERLINK("https://www.google.ru/search?q=6009316-001&amp;newwindow=1&amp;tbm=isch","Еще фото")</f>
        <v>Еще фото</v>
      </c>
      <c r="F1932" s="13"/>
      <c r="G1932" s="11" t="s">
        <v>2198</v>
      </c>
      <c r="H1932" s="11" t="s">
        <v>27</v>
      </c>
      <c r="I1932" s="14" t="s">
        <v>2190</v>
      </c>
      <c r="J1932" s="14" t="s">
        <v>47</v>
      </c>
      <c r="K1932" s="15" t="s">
        <v>54</v>
      </c>
      <c r="L1932" s="56" t="s">
        <v>2272</v>
      </c>
      <c r="M1932" s="14"/>
      <c r="N1932" s="14" t="s">
        <v>33</v>
      </c>
      <c r="O1932" s="14"/>
      <c r="P1932" s="15" t="s">
        <v>113</v>
      </c>
      <c r="Q1932" s="16">
        <v>6399</v>
      </c>
      <c r="R1932" s="17">
        <v>53.15</v>
      </c>
      <c r="S1932" s="18">
        <v>3447.4354999999996</v>
      </c>
      <c r="T1932" s="19" t="s">
        <v>36</v>
      </c>
      <c r="U1932" s="20" t="s">
        <v>114</v>
      </c>
      <c r="V1932" s="21" t="s">
        <v>115</v>
      </c>
      <c r="W1932" s="22">
        <v>5</v>
      </c>
      <c r="X1932" s="23"/>
    </row>
    <row r="1933" spans="1:24" s="1" customFormat="1" ht="35.1" customHeight="1" x14ac:dyDescent="0.3">
      <c r="A1933" s="24" t="s">
        <v>23</v>
      </c>
      <c r="B1933" s="24" t="s">
        <v>2270</v>
      </c>
      <c r="C1933" s="12" t="s">
        <v>2271</v>
      </c>
      <c r="D1933" s="54"/>
      <c r="E1933" s="39" t="str">
        <f>HYPERLINK("https://www.google.ru/search?q=6009316-001&amp;newwindow=1&amp;tbm=isch","Еще фото")</f>
        <v>Еще фото</v>
      </c>
      <c r="F1933" s="13"/>
      <c r="G1933" s="24" t="s">
        <v>2198</v>
      </c>
      <c r="H1933" s="24" t="s">
        <v>27</v>
      </c>
      <c r="I1933" s="24" t="s">
        <v>2190</v>
      </c>
      <c r="J1933" s="14" t="s">
        <v>47</v>
      </c>
      <c r="K1933" s="15" t="s">
        <v>54</v>
      </c>
      <c r="L1933" s="57"/>
      <c r="M1933" s="14"/>
      <c r="N1933" s="14" t="s">
        <v>33</v>
      </c>
      <c r="O1933" s="14"/>
      <c r="P1933" s="15" t="s">
        <v>113</v>
      </c>
      <c r="Q1933" s="16">
        <v>6399</v>
      </c>
      <c r="R1933" s="17">
        <v>53.15</v>
      </c>
      <c r="S1933" s="18">
        <v>3447.4354999999996</v>
      </c>
      <c r="T1933" s="19" t="s">
        <v>36</v>
      </c>
      <c r="U1933" s="20" t="s">
        <v>126</v>
      </c>
      <c r="V1933" s="21" t="s">
        <v>127</v>
      </c>
      <c r="W1933" s="22">
        <v>9</v>
      </c>
      <c r="X1933" s="23"/>
    </row>
    <row r="1934" spans="1:24" s="1" customFormat="1" ht="36.950000000000003" customHeight="1" x14ac:dyDescent="0.3">
      <c r="A1934" s="24" t="s">
        <v>23</v>
      </c>
      <c r="B1934" s="24" t="s">
        <v>2270</v>
      </c>
      <c r="C1934" s="12" t="s">
        <v>2271</v>
      </c>
      <c r="D1934" s="55"/>
      <c r="E1934" s="39" t="str">
        <f>HYPERLINK("https://www.google.ru/search?q=6009316-001&amp;newwindow=1&amp;tbm=isch","Еще фото")</f>
        <v>Еще фото</v>
      </c>
      <c r="F1934" s="13"/>
      <c r="G1934" s="24" t="s">
        <v>2198</v>
      </c>
      <c r="H1934" s="24" t="s">
        <v>27</v>
      </c>
      <c r="I1934" s="24" t="s">
        <v>2190</v>
      </c>
      <c r="J1934" s="14" t="s">
        <v>47</v>
      </c>
      <c r="K1934" s="15" t="s">
        <v>54</v>
      </c>
      <c r="L1934" s="58"/>
      <c r="M1934" s="14"/>
      <c r="N1934" s="14" t="s">
        <v>33</v>
      </c>
      <c r="O1934" s="14"/>
      <c r="P1934" s="15" t="s">
        <v>113</v>
      </c>
      <c r="Q1934" s="16">
        <v>6399</v>
      </c>
      <c r="R1934" s="17">
        <v>53.15</v>
      </c>
      <c r="S1934" s="18">
        <v>3447.4354999999996</v>
      </c>
      <c r="T1934" s="19" t="s">
        <v>36</v>
      </c>
      <c r="U1934" s="20" t="s">
        <v>128</v>
      </c>
      <c r="V1934" s="21" t="s">
        <v>129</v>
      </c>
      <c r="W1934" s="22">
        <v>7</v>
      </c>
      <c r="X1934" s="23"/>
    </row>
    <row r="1935" spans="1:24" s="1" customFormat="1" ht="51.95" customHeight="1" x14ac:dyDescent="0.3">
      <c r="A1935" s="11" t="s">
        <v>23</v>
      </c>
      <c r="B1935" s="11" t="s">
        <v>2270</v>
      </c>
      <c r="C1935" s="12" t="s">
        <v>2273</v>
      </c>
      <c r="D1935" s="59"/>
      <c r="E1935" s="39" t="str">
        <f>HYPERLINK("https://www.google.ru/search?q=6009316-011&amp;newwindow=1&amp;tbm=isch","Еще фото")</f>
        <v>Еще фото</v>
      </c>
      <c r="F1935" s="13"/>
      <c r="G1935" s="11" t="s">
        <v>2198</v>
      </c>
      <c r="H1935" s="11" t="s">
        <v>27</v>
      </c>
      <c r="I1935" s="14" t="s">
        <v>2190</v>
      </c>
      <c r="J1935" s="14" t="s">
        <v>47</v>
      </c>
      <c r="K1935" s="15" t="s">
        <v>54</v>
      </c>
      <c r="L1935" s="56" t="s">
        <v>2272</v>
      </c>
      <c r="M1935" s="14"/>
      <c r="N1935" s="14" t="s">
        <v>84</v>
      </c>
      <c r="O1935" s="14"/>
      <c r="P1935" s="15" t="s">
        <v>113</v>
      </c>
      <c r="Q1935" s="16">
        <v>6399</v>
      </c>
      <c r="R1935" s="17">
        <v>53.15</v>
      </c>
      <c r="S1935" s="18">
        <v>3447.4354999999996</v>
      </c>
      <c r="T1935" s="19" t="s">
        <v>36</v>
      </c>
      <c r="U1935" s="20" t="s">
        <v>114</v>
      </c>
      <c r="V1935" s="21" t="s">
        <v>115</v>
      </c>
      <c r="W1935" s="22">
        <v>4</v>
      </c>
      <c r="X1935" s="23"/>
    </row>
    <row r="1936" spans="1:24" s="1" customFormat="1" ht="60.95" customHeight="1" x14ac:dyDescent="0.3">
      <c r="A1936" s="24" t="s">
        <v>23</v>
      </c>
      <c r="B1936" s="24" t="s">
        <v>2270</v>
      </c>
      <c r="C1936" s="12" t="s">
        <v>2273</v>
      </c>
      <c r="D1936" s="60"/>
      <c r="E1936" s="39" t="str">
        <f>HYPERLINK("https://www.google.ru/search?q=6009316-011&amp;newwindow=1&amp;tbm=isch","Еще фото")</f>
        <v>Еще фото</v>
      </c>
      <c r="F1936" s="13"/>
      <c r="G1936" s="24" t="s">
        <v>2198</v>
      </c>
      <c r="H1936" s="24" t="s">
        <v>27</v>
      </c>
      <c r="I1936" s="24" t="s">
        <v>2190</v>
      </c>
      <c r="J1936" s="14" t="s">
        <v>47</v>
      </c>
      <c r="K1936" s="15" t="s">
        <v>54</v>
      </c>
      <c r="L1936" s="58"/>
      <c r="M1936" s="14"/>
      <c r="N1936" s="14" t="s">
        <v>84</v>
      </c>
      <c r="O1936" s="14"/>
      <c r="P1936" s="15" t="s">
        <v>113</v>
      </c>
      <c r="Q1936" s="16">
        <v>6399</v>
      </c>
      <c r="R1936" s="17">
        <v>53.15</v>
      </c>
      <c r="S1936" s="18">
        <v>3447.4354999999996</v>
      </c>
      <c r="T1936" s="19" t="s">
        <v>36</v>
      </c>
      <c r="U1936" s="20" t="s">
        <v>126</v>
      </c>
      <c r="V1936" s="21" t="s">
        <v>127</v>
      </c>
      <c r="W1936" s="22">
        <v>2</v>
      </c>
      <c r="X1936" s="23"/>
    </row>
    <row r="1937" spans="1:24" s="1" customFormat="1" ht="108" customHeight="1" x14ac:dyDescent="0.3">
      <c r="A1937" s="11" t="s">
        <v>23</v>
      </c>
      <c r="B1937" s="11" t="s">
        <v>2274</v>
      </c>
      <c r="C1937" s="12" t="s">
        <v>2275</v>
      </c>
      <c r="D1937" s="25"/>
      <c r="E1937" s="39" t="str">
        <f>HYPERLINK("https://www.google.ru/search?q=1390139-025&amp;newwindow=1&amp;tbm=isch","Еще фото")</f>
        <v>Еще фото</v>
      </c>
      <c r="F1937" s="13"/>
      <c r="G1937" s="11" t="s">
        <v>2198</v>
      </c>
      <c r="H1937" s="11" t="s">
        <v>27</v>
      </c>
      <c r="I1937" s="14" t="s">
        <v>2190</v>
      </c>
      <c r="J1937" s="14" t="s">
        <v>47</v>
      </c>
      <c r="K1937" s="15" t="s">
        <v>30</v>
      </c>
      <c r="L1937" s="14" t="s">
        <v>2276</v>
      </c>
      <c r="M1937" s="14"/>
      <c r="N1937" s="14" t="s">
        <v>84</v>
      </c>
      <c r="O1937" s="14"/>
      <c r="P1937" s="15" t="s">
        <v>113</v>
      </c>
      <c r="Q1937" s="16">
        <v>8699</v>
      </c>
      <c r="R1937" s="17">
        <v>52.43</v>
      </c>
      <c r="S1937" s="18">
        <v>4758.4355000000005</v>
      </c>
      <c r="T1937" s="19" t="s">
        <v>36</v>
      </c>
      <c r="U1937" s="20" t="s">
        <v>37</v>
      </c>
      <c r="V1937" s="21" t="s">
        <v>38</v>
      </c>
      <c r="W1937" s="22">
        <v>2</v>
      </c>
      <c r="X1937" s="23"/>
    </row>
    <row r="1938" spans="1:24" s="1" customFormat="1" ht="26.1" customHeight="1" x14ac:dyDescent="0.3">
      <c r="A1938" s="11" t="s">
        <v>23</v>
      </c>
      <c r="B1938" s="11" t="s">
        <v>2277</v>
      </c>
      <c r="C1938" s="12" t="s">
        <v>2278</v>
      </c>
      <c r="D1938" s="53"/>
      <c r="E1938" s="39" t="str">
        <f>HYPERLINK("https://www.google.ru/search?q=1366438-100&amp;newwindow=1&amp;tbm=isch","Еще фото")</f>
        <v>Еще фото</v>
      </c>
      <c r="F1938" s="13" t="s">
        <v>98</v>
      </c>
      <c r="G1938" s="11" t="s">
        <v>2198</v>
      </c>
      <c r="H1938" s="11" t="s">
        <v>27</v>
      </c>
      <c r="I1938" s="14" t="s">
        <v>2190</v>
      </c>
      <c r="J1938" s="14" t="s">
        <v>29</v>
      </c>
      <c r="K1938" s="15" t="s">
        <v>30</v>
      </c>
      <c r="L1938" s="56" t="s">
        <v>2279</v>
      </c>
      <c r="M1938" s="14" t="s">
        <v>49</v>
      </c>
      <c r="N1938" s="14" t="s">
        <v>74</v>
      </c>
      <c r="O1938" s="14" t="s">
        <v>34</v>
      </c>
      <c r="P1938" s="15" t="s">
        <v>35</v>
      </c>
      <c r="Q1938" s="16">
        <v>19799</v>
      </c>
      <c r="R1938" s="17">
        <v>52.43</v>
      </c>
      <c r="S1938" s="18">
        <v>10830.4355</v>
      </c>
      <c r="T1938" s="19" t="s">
        <v>36</v>
      </c>
      <c r="U1938" s="20" t="s">
        <v>37</v>
      </c>
      <c r="V1938" s="21" t="s">
        <v>38</v>
      </c>
      <c r="W1938" s="22">
        <v>5</v>
      </c>
      <c r="X1938" s="23"/>
    </row>
    <row r="1939" spans="1:24" s="1" customFormat="1" ht="26.1" customHeight="1" x14ac:dyDescent="0.3">
      <c r="A1939" s="24" t="s">
        <v>23</v>
      </c>
      <c r="B1939" s="24" t="s">
        <v>2277</v>
      </c>
      <c r="C1939" s="12" t="s">
        <v>2278</v>
      </c>
      <c r="D1939" s="54"/>
      <c r="E1939" s="39" t="str">
        <f>HYPERLINK("https://www.google.ru/search?q=1366438-100&amp;newwindow=1&amp;tbm=isch","Еще фото")</f>
        <v>Еще фото</v>
      </c>
      <c r="F1939" s="13" t="s">
        <v>98</v>
      </c>
      <c r="G1939" s="24" t="s">
        <v>2198</v>
      </c>
      <c r="H1939" s="24" t="s">
        <v>27</v>
      </c>
      <c r="I1939" s="24" t="s">
        <v>2190</v>
      </c>
      <c r="J1939" s="14" t="s">
        <v>29</v>
      </c>
      <c r="K1939" s="15" t="s">
        <v>30</v>
      </c>
      <c r="L1939" s="57"/>
      <c r="M1939" s="14" t="s">
        <v>49</v>
      </c>
      <c r="N1939" s="14" t="s">
        <v>74</v>
      </c>
      <c r="O1939" s="14" t="s">
        <v>34</v>
      </c>
      <c r="P1939" s="15" t="s">
        <v>35</v>
      </c>
      <c r="Q1939" s="16">
        <v>19799</v>
      </c>
      <c r="R1939" s="17">
        <v>52.43</v>
      </c>
      <c r="S1939" s="18">
        <v>10830.4355</v>
      </c>
      <c r="T1939" s="19" t="s">
        <v>36</v>
      </c>
      <c r="U1939" s="20" t="s">
        <v>39</v>
      </c>
      <c r="V1939" s="21" t="s">
        <v>40</v>
      </c>
      <c r="W1939" s="22">
        <v>5</v>
      </c>
      <c r="X1939" s="23"/>
    </row>
    <row r="1940" spans="1:24" s="1" customFormat="1" ht="26.1" customHeight="1" x14ac:dyDescent="0.3">
      <c r="A1940" s="24" t="s">
        <v>23</v>
      </c>
      <c r="B1940" s="24" t="s">
        <v>2277</v>
      </c>
      <c r="C1940" s="12" t="s">
        <v>2278</v>
      </c>
      <c r="D1940" s="54"/>
      <c r="E1940" s="39" t="str">
        <f>HYPERLINK("https://www.google.ru/search?q=1366438-100&amp;newwindow=1&amp;tbm=isch","Еще фото")</f>
        <v>Еще фото</v>
      </c>
      <c r="F1940" s="13" t="s">
        <v>98</v>
      </c>
      <c r="G1940" s="24" t="s">
        <v>2198</v>
      </c>
      <c r="H1940" s="24" t="s">
        <v>27</v>
      </c>
      <c r="I1940" s="24" t="s">
        <v>2190</v>
      </c>
      <c r="J1940" s="14" t="s">
        <v>29</v>
      </c>
      <c r="K1940" s="15" t="s">
        <v>30</v>
      </c>
      <c r="L1940" s="57"/>
      <c r="M1940" s="14" t="s">
        <v>49</v>
      </c>
      <c r="N1940" s="14" t="s">
        <v>74</v>
      </c>
      <c r="O1940" s="14" t="s">
        <v>34</v>
      </c>
      <c r="P1940" s="15" t="s">
        <v>35</v>
      </c>
      <c r="Q1940" s="16">
        <v>19799</v>
      </c>
      <c r="R1940" s="17">
        <v>52.43</v>
      </c>
      <c r="S1940" s="18">
        <v>10830.4355</v>
      </c>
      <c r="T1940" s="19" t="s">
        <v>36</v>
      </c>
      <c r="U1940" s="20" t="s">
        <v>41</v>
      </c>
      <c r="V1940" s="21" t="s">
        <v>42</v>
      </c>
      <c r="W1940" s="22">
        <v>12</v>
      </c>
      <c r="X1940" s="23"/>
    </row>
    <row r="1941" spans="1:24" s="1" customFormat="1" ht="26.1" customHeight="1" x14ac:dyDescent="0.3">
      <c r="A1941" s="24" t="s">
        <v>23</v>
      </c>
      <c r="B1941" s="24" t="s">
        <v>2277</v>
      </c>
      <c r="C1941" s="12" t="s">
        <v>2278</v>
      </c>
      <c r="D1941" s="55"/>
      <c r="E1941" s="39" t="str">
        <f>HYPERLINK("https://www.google.ru/search?q=1366438-100&amp;newwindow=1&amp;tbm=isch","Еще фото")</f>
        <v>Еще фото</v>
      </c>
      <c r="F1941" s="13" t="s">
        <v>98</v>
      </c>
      <c r="G1941" s="24" t="s">
        <v>2198</v>
      </c>
      <c r="H1941" s="24" t="s">
        <v>27</v>
      </c>
      <c r="I1941" s="24" t="s">
        <v>2190</v>
      </c>
      <c r="J1941" s="14" t="s">
        <v>29</v>
      </c>
      <c r="K1941" s="15" t="s">
        <v>30</v>
      </c>
      <c r="L1941" s="58"/>
      <c r="M1941" s="14" t="s">
        <v>49</v>
      </c>
      <c r="N1941" s="14" t="s">
        <v>74</v>
      </c>
      <c r="O1941" s="14" t="s">
        <v>34</v>
      </c>
      <c r="P1941" s="15" t="s">
        <v>35</v>
      </c>
      <c r="Q1941" s="16">
        <v>19799</v>
      </c>
      <c r="R1941" s="17">
        <v>52.43</v>
      </c>
      <c r="S1941" s="18">
        <v>10830.4355</v>
      </c>
      <c r="T1941" s="19" t="s">
        <v>36</v>
      </c>
      <c r="U1941" s="20" t="s">
        <v>43</v>
      </c>
      <c r="V1941" s="21" t="s">
        <v>44</v>
      </c>
      <c r="W1941" s="22">
        <v>1</v>
      </c>
      <c r="X1941" s="23"/>
    </row>
    <row r="1942" spans="1:24" s="1" customFormat="1" ht="35.1" customHeight="1" x14ac:dyDescent="0.3">
      <c r="A1942" s="11" t="s">
        <v>23</v>
      </c>
      <c r="B1942" s="11" t="s">
        <v>2260</v>
      </c>
      <c r="C1942" s="12" t="s">
        <v>2280</v>
      </c>
      <c r="D1942" s="53"/>
      <c r="E1942" s="39" t="str">
        <f>HYPERLINK("https://www.google.ru/search?q=1379758-600&amp;newwindow=1&amp;tbm=isch","Еще фото")</f>
        <v>Еще фото</v>
      </c>
      <c r="F1942" s="13"/>
      <c r="G1942" s="11" t="s">
        <v>2198</v>
      </c>
      <c r="H1942" s="11" t="s">
        <v>27</v>
      </c>
      <c r="I1942" s="14" t="s">
        <v>2190</v>
      </c>
      <c r="J1942" s="14" t="s">
        <v>29</v>
      </c>
      <c r="K1942" s="15" t="s">
        <v>30</v>
      </c>
      <c r="L1942" s="56" t="s">
        <v>2262</v>
      </c>
      <c r="M1942" s="14" t="s">
        <v>56</v>
      </c>
      <c r="N1942" s="14" t="s">
        <v>252</v>
      </c>
      <c r="O1942" s="14"/>
      <c r="P1942" s="15" t="s">
        <v>113</v>
      </c>
      <c r="Q1942" s="16">
        <v>8299</v>
      </c>
      <c r="R1942" s="17">
        <v>52.43</v>
      </c>
      <c r="S1942" s="18">
        <v>4539.9354999999996</v>
      </c>
      <c r="T1942" s="19" t="s">
        <v>36</v>
      </c>
      <c r="U1942" s="20" t="s">
        <v>37</v>
      </c>
      <c r="V1942" s="21" t="s">
        <v>38</v>
      </c>
      <c r="W1942" s="22">
        <v>4</v>
      </c>
      <c r="X1942" s="23"/>
    </row>
    <row r="1943" spans="1:24" s="1" customFormat="1" ht="35.1" customHeight="1" x14ac:dyDescent="0.3">
      <c r="A1943" s="24" t="s">
        <v>23</v>
      </c>
      <c r="B1943" s="24" t="s">
        <v>2260</v>
      </c>
      <c r="C1943" s="12" t="s">
        <v>2280</v>
      </c>
      <c r="D1943" s="54"/>
      <c r="E1943" s="39" t="str">
        <f>HYPERLINK("https://www.google.ru/search?q=1379758-600&amp;newwindow=1&amp;tbm=isch","Еще фото")</f>
        <v>Еще фото</v>
      </c>
      <c r="F1943" s="13"/>
      <c r="G1943" s="24" t="s">
        <v>2198</v>
      </c>
      <c r="H1943" s="24" t="s">
        <v>27</v>
      </c>
      <c r="I1943" s="24" t="s">
        <v>2190</v>
      </c>
      <c r="J1943" s="14" t="s">
        <v>29</v>
      </c>
      <c r="K1943" s="15" t="s">
        <v>30</v>
      </c>
      <c r="L1943" s="57"/>
      <c r="M1943" s="14" t="s">
        <v>56</v>
      </c>
      <c r="N1943" s="14" t="s">
        <v>252</v>
      </c>
      <c r="O1943" s="14"/>
      <c r="P1943" s="15" t="s">
        <v>113</v>
      </c>
      <c r="Q1943" s="16">
        <v>8299</v>
      </c>
      <c r="R1943" s="17">
        <v>52.43</v>
      </c>
      <c r="S1943" s="18">
        <v>4539.9354999999996</v>
      </c>
      <c r="T1943" s="19" t="s">
        <v>36</v>
      </c>
      <c r="U1943" s="20" t="s">
        <v>39</v>
      </c>
      <c r="V1943" s="21" t="s">
        <v>40</v>
      </c>
      <c r="W1943" s="22">
        <v>8</v>
      </c>
      <c r="X1943" s="23"/>
    </row>
    <row r="1944" spans="1:24" s="1" customFormat="1" ht="36.950000000000003" customHeight="1" x14ac:dyDescent="0.3">
      <c r="A1944" s="24" t="s">
        <v>23</v>
      </c>
      <c r="B1944" s="24" t="s">
        <v>2260</v>
      </c>
      <c r="C1944" s="12" t="s">
        <v>2280</v>
      </c>
      <c r="D1944" s="55"/>
      <c r="E1944" s="39" t="str">
        <f>HYPERLINK("https://www.google.ru/search?q=1379758-600&amp;newwindow=1&amp;tbm=isch","Еще фото")</f>
        <v>Еще фото</v>
      </c>
      <c r="F1944" s="13"/>
      <c r="G1944" s="24" t="s">
        <v>2198</v>
      </c>
      <c r="H1944" s="24" t="s">
        <v>27</v>
      </c>
      <c r="I1944" s="24" t="s">
        <v>2190</v>
      </c>
      <c r="J1944" s="14" t="s">
        <v>29</v>
      </c>
      <c r="K1944" s="15" t="s">
        <v>30</v>
      </c>
      <c r="L1944" s="58"/>
      <c r="M1944" s="14" t="s">
        <v>56</v>
      </c>
      <c r="N1944" s="14" t="s">
        <v>252</v>
      </c>
      <c r="O1944" s="14"/>
      <c r="P1944" s="15" t="s">
        <v>113</v>
      </c>
      <c r="Q1944" s="16">
        <v>8299</v>
      </c>
      <c r="R1944" s="17">
        <v>52.43</v>
      </c>
      <c r="S1944" s="18">
        <v>4539.9354999999996</v>
      </c>
      <c r="T1944" s="19" t="s">
        <v>36</v>
      </c>
      <c r="U1944" s="20" t="s">
        <v>41</v>
      </c>
      <c r="V1944" s="21" t="s">
        <v>42</v>
      </c>
      <c r="W1944" s="22">
        <v>7</v>
      </c>
      <c r="X1944" s="23"/>
    </row>
    <row r="1945" spans="1:24" s="1" customFormat="1" ht="51.95" customHeight="1" x14ac:dyDescent="0.3">
      <c r="A1945" s="11" t="s">
        <v>23</v>
      </c>
      <c r="B1945" s="11" t="s">
        <v>2260</v>
      </c>
      <c r="C1945" s="12" t="s">
        <v>2281</v>
      </c>
      <c r="D1945" s="59"/>
      <c r="E1945" s="39" t="str">
        <f>HYPERLINK("https://www.google.ru/search?q=1379758-025&amp;newwindow=1&amp;tbm=isch","Еще фото")</f>
        <v>Еще фото</v>
      </c>
      <c r="F1945" s="13"/>
      <c r="G1945" s="11" t="s">
        <v>2198</v>
      </c>
      <c r="H1945" s="11" t="s">
        <v>27</v>
      </c>
      <c r="I1945" s="14" t="s">
        <v>2190</v>
      </c>
      <c r="J1945" s="14" t="s">
        <v>29</v>
      </c>
      <c r="K1945" s="15" t="s">
        <v>30</v>
      </c>
      <c r="L1945" s="56" t="s">
        <v>2282</v>
      </c>
      <c r="M1945" s="14" t="s">
        <v>56</v>
      </c>
      <c r="N1945" s="14" t="s">
        <v>84</v>
      </c>
      <c r="O1945" s="14"/>
      <c r="P1945" s="15" t="s">
        <v>113</v>
      </c>
      <c r="Q1945" s="16">
        <v>5999</v>
      </c>
      <c r="R1945" s="17">
        <v>52.36</v>
      </c>
      <c r="S1945" s="18">
        <v>3286.4354999999996</v>
      </c>
      <c r="T1945" s="19" t="s">
        <v>36</v>
      </c>
      <c r="U1945" s="20" t="s">
        <v>39</v>
      </c>
      <c r="V1945" s="21" t="s">
        <v>40</v>
      </c>
      <c r="W1945" s="22">
        <v>12</v>
      </c>
      <c r="X1945" s="23"/>
    </row>
    <row r="1946" spans="1:24" s="1" customFormat="1" ht="60.95" customHeight="1" x14ac:dyDescent="0.3">
      <c r="A1946" s="24" t="s">
        <v>23</v>
      </c>
      <c r="B1946" s="24" t="s">
        <v>2260</v>
      </c>
      <c r="C1946" s="12" t="s">
        <v>2281</v>
      </c>
      <c r="D1946" s="60"/>
      <c r="E1946" s="39" t="str">
        <f>HYPERLINK("https://www.google.ru/search?q=1379758-025&amp;newwindow=1&amp;tbm=isch","Еще фото")</f>
        <v>Еще фото</v>
      </c>
      <c r="F1946" s="13"/>
      <c r="G1946" s="24" t="s">
        <v>2198</v>
      </c>
      <c r="H1946" s="24" t="s">
        <v>27</v>
      </c>
      <c r="I1946" s="24" t="s">
        <v>2190</v>
      </c>
      <c r="J1946" s="14" t="s">
        <v>29</v>
      </c>
      <c r="K1946" s="15" t="s">
        <v>30</v>
      </c>
      <c r="L1946" s="58"/>
      <c r="M1946" s="14" t="s">
        <v>56</v>
      </c>
      <c r="N1946" s="14" t="s">
        <v>84</v>
      </c>
      <c r="O1946" s="14"/>
      <c r="P1946" s="15" t="s">
        <v>113</v>
      </c>
      <c r="Q1946" s="16">
        <v>5999</v>
      </c>
      <c r="R1946" s="17">
        <v>52.36</v>
      </c>
      <c r="S1946" s="18">
        <v>3286.4354999999996</v>
      </c>
      <c r="T1946" s="19" t="s">
        <v>36</v>
      </c>
      <c r="U1946" s="20" t="s">
        <v>41</v>
      </c>
      <c r="V1946" s="21" t="s">
        <v>42</v>
      </c>
      <c r="W1946" s="22">
        <v>22</v>
      </c>
      <c r="X1946" s="23"/>
    </row>
    <row r="1947" spans="1:24" s="1" customFormat="1" ht="35.1" customHeight="1" x14ac:dyDescent="0.3">
      <c r="A1947" s="11" t="s">
        <v>23</v>
      </c>
      <c r="B1947" s="11" t="s">
        <v>2283</v>
      </c>
      <c r="C1947" s="12" t="s">
        <v>2284</v>
      </c>
      <c r="D1947" s="53"/>
      <c r="E1947" s="39" t="str">
        <f>HYPERLINK("https://www.google.ru/search?q=1373880-410&amp;newwindow=1&amp;tbm=isch","Еще фото")</f>
        <v>Еще фото</v>
      </c>
      <c r="F1947" s="13" t="s">
        <v>98</v>
      </c>
      <c r="G1947" s="11" t="s">
        <v>2198</v>
      </c>
      <c r="H1947" s="11" t="s">
        <v>27</v>
      </c>
      <c r="I1947" s="14" t="s">
        <v>2190</v>
      </c>
      <c r="J1947" s="14" t="s">
        <v>29</v>
      </c>
      <c r="K1947" s="15" t="s">
        <v>30</v>
      </c>
      <c r="L1947" s="56" t="s">
        <v>2285</v>
      </c>
      <c r="M1947" s="14"/>
      <c r="N1947" s="14" t="s">
        <v>91</v>
      </c>
      <c r="O1947" s="14"/>
      <c r="P1947" s="15" t="s">
        <v>113</v>
      </c>
      <c r="Q1947" s="16">
        <v>8199</v>
      </c>
      <c r="R1947" s="17">
        <v>52.34</v>
      </c>
      <c r="S1947" s="18">
        <v>4493.9354999999996</v>
      </c>
      <c r="T1947" s="19" t="s">
        <v>36</v>
      </c>
      <c r="U1947" s="20" t="s">
        <v>37</v>
      </c>
      <c r="V1947" s="21" t="s">
        <v>38</v>
      </c>
      <c r="W1947" s="22">
        <v>4</v>
      </c>
      <c r="X1947" s="23"/>
    </row>
    <row r="1948" spans="1:24" s="1" customFormat="1" ht="35.1" customHeight="1" x14ac:dyDescent="0.3">
      <c r="A1948" s="24" t="s">
        <v>23</v>
      </c>
      <c r="B1948" s="24" t="s">
        <v>2283</v>
      </c>
      <c r="C1948" s="12" t="s">
        <v>2284</v>
      </c>
      <c r="D1948" s="54"/>
      <c r="E1948" s="39" t="str">
        <f>HYPERLINK("https://www.google.ru/search?q=1373880-410&amp;newwindow=1&amp;tbm=isch","Еще фото")</f>
        <v>Еще фото</v>
      </c>
      <c r="F1948" s="13" t="s">
        <v>98</v>
      </c>
      <c r="G1948" s="24" t="s">
        <v>2198</v>
      </c>
      <c r="H1948" s="24" t="s">
        <v>27</v>
      </c>
      <c r="I1948" s="24" t="s">
        <v>2190</v>
      </c>
      <c r="J1948" s="14" t="s">
        <v>29</v>
      </c>
      <c r="K1948" s="15" t="s">
        <v>30</v>
      </c>
      <c r="L1948" s="57"/>
      <c r="M1948" s="14"/>
      <c r="N1948" s="14" t="s">
        <v>91</v>
      </c>
      <c r="O1948" s="14"/>
      <c r="P1948" s="15" t="s">
        <v>113</v>
      </c>
      <c r="Q1948" s="16">
        <v>8199</v>
      </c>
      <c r="R1948" s="17">
        <v>52.34</v>
      </c>
      <c r="S1948" s="18">
        <v>4493.9354999999996</v>
      </c>
      <c r="T1948" s="19" t="s">
        <v>36</v>
      </c>
      <c r="U1948" s="20" t="s">
        <v>39</v>
      </c>
      <c r="V1948" s="21" t="s">
        <v>40</v>
      </c>
      <c r="W1948" s="22">
        <v>6</v>
      </c>
      <c r="X1948" s="23"/>
    </row>
    <row r="1949" spans="1:24" s="1" customFormat="1" ht="36.950000000000003" customHeight="1" x14ac:dyDescent="0.3">
      <c r="A1949" s="24" t="s">
        <v>23</v>
      </c>
      <c r="B1949" s="24" t="s">
        <v>2283</v>
      </c>
      <c r="C1949" s="12" t="s">
        <v>2284</v>
      </c>
      <c r="D1949" s="55"/>
      <c r="E1949" s="39" t="str">
        <f>HYPERLINK("https://www.google.ru/search?q=1373880-410&amp;newwindow=1&amp;tbm=isch","Еще фото")</f>
        <v>Еще фото</v>
      </c>
      <c r="F1949" s="13" t="s">
        <v>98</v>
      </c>
      <c r="G1949" s="24" t="s">
        <v>2198</v>
      </c>
      <c r="H1949" s="24" t="s">
        <v>27</v>
      </c>
      <c r="I1949" s="24" t="s">
        <v>2190</v>
      </c>
      <c r="J1949" s="14" t="s">
        <v>29</v>
      </c>
      <c r="K1949" s="15" t="s">
        <v>30</v>
      </c>
      <c r="L1949" s="58"/>
      <c r="M1949" s="14"/>
      <c r="N1949" s="14" t="s">
        <v>91</v>
      </c>
      <c r="O1949" s="14"/>
      <c r="P1949" s="15" t="s">
        <v>113</v>
      </c>
      <c r="Q1949" s="16">
        <v>8199</v>
      </c>
      <c r="R1949" s="17">
        <v>52.34</v>
      </c>
      <c r="S1949" s="18">
        <v>4493.9354999999996</v>
      </c>
      <c r="T1949" s="19" t="s">
        <v>36</v>
      </c>
      <c r="U1949" s="20" t="s">
        <v>41</v>
      </c>
      <c r="V1949" s="21" t="s">
        <v>42</v>
      </c>
      <c r="W1949" s="22">
        <v>12</v>
      </c>
      <c r="X1949" s="23"/>
    </row>
    <row r="1950" spans="1:24" s="1" customFormat="1" ht="108" customHeight="1" x14ac:dyDescent="0.3">
      <c r="A1950" s="11" t="s">
        <v>23</v>
      </c>
      <c r="B1950" s="11" t="s">
        <v>2286</v>
      </c>
      <c r="C1950" s="12" t="s">
        <v>2287</v>
      </c>
      <c r="D1950" s="25"/>
      <c r="E1950" s="39" t="str">
        <f>HYPERLINK("https://www.google.ru/search?q=1356318-558&amp;newwindow=1&amp;tbm=isch","Еще фото")</f>
        <v>Еще фото</v>
      </c>
      <c r="F1950" s="13"/>
      <c r="G1950" s="11" t="s">
        <v>2198</v>
      </c>
      <c r="H1950" s="11" t="s">
        <v>27</v>
      </c>
      <c r="I1950" s="14" t="s">
        <v>2190</v>
      </c>
      <c r="J1950" s="14" t="s">
        <v>29</v>
      </c>
      <c r="K1950" s="15" t="s">
        <v>64</v>
      </c>
      <c r="L1950" s="14" t="s">
        <v>2288</v>
      </c>
      <c r="M1950" s="14" t="s">
        <v>56</v>
      </c>
      <c r="N1950" s="14" t="s">
        <v>67</v>
      </c>
      <c r="O1950" s="14"/>
      <c r="P1950" s="15" t="s">
        <v>113</v>
      </c>
      <c r="Q1950" s="16">
        <v>7399</v>
      </c>
      <c r="R1950" s="17">
        <v>52.32</v>
      </c>
      <c r="S1950" s="18">
        <v>4056.9354999999996</v>
      </c>
      <c r="T1950" s="19" t="s">
        <v>36</v>
      </c>
      <c r="U1950" s="20" t="s">
        <v>39</v>
      </c>
      <c r="V1950" s="21" t="s">
        <v>38</v>
      </c>
      <c r="W1950" s="22">
        <v>10</v>
      </c>
      <c r="X1950" s="23"/>
    </row>
    <row r="1951" spans="1:24" s="1" customFormat="1" ht="26.1" customHeight="1" x14ac:dyDescent="0.3">
      <c r="A1951" s="11" t="s">
        <v>23</v>
      </c>
      <c r="B1951" s="11" t="s">
        <v>2289</v>
      </c>
      <c r="C1951" s="12" t="s">
        <v>2290</v>
      </c>
      <c r="D1951" s="53"/>
      <c r="E1951" s="39" t="str">
        <f>HYPERLINK("https://www.google.ru/search?q=1390293-001&amp;newwindow=1&amp;tbm=isch","Еще фото")</f>
        <v>Еще фото</v>
      </c>
      <c r="F1951" s="13"/>
      <c r="G1951" s="11" t="s">
        <v>2198</v>
      </c>
      <c r="H1951" s="11" t="s">
        <v>27</v>
      </c>
      <c r="I1951" s="14" t="s">
        <v>2190</v>
      </c>
      <c r="J1951" s="14" t="s">
        <v>47</v>
      </c>
      <c r="K1951" s="15" t="s">
        <v>54</v>
      </c>
      <c r="L1951" s="56" t="s">
        <v>2291</v>
      </c>
      <c r="M1951" s="14"/>
      <c r="N1951" s="14" t="s">
        <v>33</v>
      </c>
      <c r="O1951" s="14"/>
      <c r="P1951" s="15" t="s">
        <v>113</v>
      </c>
      <c r="Q1951" s="16">
        <v>6199</v>
      </c>
      <c r="R1951" s="17">
        <v>49.71</v>
      </c>
      <c r="S1951" s="18">
        <v>3585.4354999999996</v>
      </c>
      <c r="T1951" s="19" t="s">
        <v>36</v>
      </c>
      <c r="U1951" s="20" t="s">
        <v>126</v>
      </c>
      <c r="V1951" s="21" t="s">
        <v>127</v>
      </c>
      <c r="W1951" s="22">
        <v>6</v>
      </c>
      <c r="X1951" s="23"/>
    </row>
    <row r="1952" spans="1:24" s="1" customFormat="1" ht="26.1" customHeight="1" x14ac:dyDescent="0.3">
      <c r="A1952" s="24" t="s">
        <v>23</v>
      </c>
      <c r="B1952" s="24" t="s">
        <v>2289</v>
      </c>
      <c r="C1952" s="12" t="s">
        <v>2290</v>
      </c>
      <c r="D1952" s="54"/>
      <c r="E1952" s="39" t="str">
        <f>HYPERLINK("https://www.google.ru/search?q=1390293-001&amp;newwindow=1&amp;tbm=isch","Еще фото")</f>
        <v>Еще фото</v>
      </c>
      <c r="F1952" s="13"/>
      <c r="G1952" s="24" t="s">
        <v>2198</v>
      </c>
      <c r="H1952" s="24" t="s">
        <v>27</v>
      </c>
      <c r="I1952" s="24" t="s">
        <v>2190</v>
      </c>
      <c r="J1952" s="14" t="s">
        <v>47</v>
      </c>
      <c r="K1952" s="15" t="s">
        <v>54</v>
      </c>
      <c r="L1952" s="57"/>
      <c r="M1952" s="14"/>
      <c r="N1952" s="14" t="s">
        <v>33</v>
      </c>
      <c r="O1952" s="14"/>
      <c r="P1952" s="15" t="s">
        <v>113</v>
      </c>
      <c r="Q1952" s="16">
        <v>6199</v>
      </c>
      <c r="R1952" s="17">
        <v>49.71</v>
      </c>
      <c r="S1952" s="18">
        <v>3585.4354999999996</v>
      </c>
      <c r="T1952" s="19" t="s">
        <v>36</v>
      </c>
      <c r="U1952" s="20" t="s">
        <v>128</v>
      </c>
      <c r="V1952" s="21" t="s">
        <v>129</v>
      </c>
      <c r="W1952" s="22">
        <v>4</v>
      </c>
      <c r="X1952" s="23"/>
    </row>
    <row r="1953" spans="1:24" s="1" customFormat="1" ht="26.1" customHeight="1" x14ac:dyDescent="0.3">
      <c r="A1953" s="24" t="s">
        <v>23</v>
      </c>
      <c r="B1953" s="24" t="s">
        <v>2289</v>
      </c>
      <c r="C1953" s="12" t="s">
        <v>2290</v>
      </c>
      <c r="D1953" s="54"/>
      <c r="E1953" s="39" t="str">
        <f>HYPERLINK("https://www.google.ru/search?q=1390293-001&amp;newwindow=1&amp;tbm=isch","Еще фото")</f>
        <v>Еще фото</v>
      </c>
      <c r="F1953" s="13"/>
      <c r="G1953" s="24" t="s">
        <v>2198</v>
      </c>
      <c r="H1953" s="24" t="s">
        <v>27</v>
      </c>
      <c r="I1953" s="24" t="s">
        <v>2190</v>
      </c>
      <c r="J1953" s="14" t="s">
        <v>47</v>
      </c>
      <c r="K1953" s="15" t="s">
        <v>54</v>
      </c>
      <c r="L1953" s="57"/>
      <c r="M1953" s="14"/>
      <c r="N1953" s="14" t="s">
        <v>33</v>
      </c>
      <c r="O1953" s="14"/>
      <c r="P1953" s="15" t="s">
        <v>113</v>
      </c>
      <c r="Q1953" s="16">
        <v>6199</v>
      </c>
      <c r="R1953" s="17">
        <v>49.71</v>
      </c>
      <c r="S1953" s="18">
        <v>3585.4354999999996</v>
      </c>
      <c r="T1953" s="19" t="s">
        <v>36</v>
      </c>
      <c r="U1953" s="20" t="s">
        <v>59</v>
      </c>
      <c r="V1953" s="21" t="s">
        <v>60</v>
      </c>
      <c r="W1953" s="22">
        <v>3</v>
      </c>
      <c r="X1953" s="23"/>
    </row>
    <row r="1954" spans="1:24" s="1" customFormat="1" ht="26.1" customHeight="1" x14ac:dyDescent="0.3">
      <c r="A1954" s="24" t="s">
        <v>23</v>
      </c>
      <c r="B1954" s="24" t="s">
        <v>2289</v>
      </c>
      <c r="C1954" s="12" t="s">
        <v>2290</v>
      </c>
      <c r="D1954" s="55"/>
      <c r="E1954" s="39" t="str">
        <f>HYPERLINK("https://www.google.ru/search?q=1390293-001&amp;newwindow=1&amp;tbm=isch","Еще фото")</f>
        <v>Еще фото</v>
      </c>
      <c r="F1954" s="13"/>
      <c r="G1954" s="24" t="s">
        <v>2198</v>
      </c>
      <c r="H1954" s="24" t="s">
        <v>27</v>
      </c>
      <c r="I1954" s="24" t="s">
        <v>2190</v>
      </c>
      <c r="J1954" s="14" t="s">
        <v>47</v>
      </c>
      <c r="K1954" s="15" t="s">
        <v>54</v>
      </c>
      <c r="L1954" s="58"/>
      <c r="M1954" s="14"/>
      <c r="N1954" s="14" t="s">
        <v>33</v>
      </c>
      <c r="O1954" s="14"/>
      <c r="P1954" s="15" t="s">
        <v>113</v>
      </c>
      <c r="Q1954" s="16">
        <v>6199</v>
      </c>
      <c r="R1954" s="17">
        <v>49.71</v>
      </c>
      <c r="S1954" s="18">
        <v>3585.4354999999996</v>
      </c>
      <c r="T1954" s="19" t="s">
        <v>36</v>
      </c>
      <c r="U1954" s="20" t="s">
        <v>130</v>
      </c>
      <c r="V1954" s="21" t="s">
        <v>131</v>
      </c>
      <c r="W1954" s="22">
        <v>7</v>
      </c>
      <c r="X1954" s="23"/>
    </row>
    <row r="1955" spans="1:24" s="1" customFormat="1" ht="108" customHeight="1" x14ac:dyDescent="0.3">
      <c r="A1955" s="11" t="s">
        <v>23</v>
      </c>
      <c r="B1955" s="11" t="s">
        <v>2292</v>
      </c>
      <c r="C1955" s="12" t="s">
        <v>2293</v>
      </c>
      <c r="D1955" s="25"/>
      <c r="E1955" s="39" t="str">
        <f>HYPERLINK("https://www.google.ru/search?q=1373674-426&amp;newwindow=1&amp;tbm=isch","Еще фото")</f>
        <v>Еще фото</v>
      </c>
      <c r="F1955" s="13"/>
      <c r="G1955" s="11" t="s">
        <v>2189</v>
      </c>
      <c r="H1955" s="11" t="s">
        <v>27</v>
      </c>
      <c r="I1955" s="14" t="s">
        <v>2190</v>
      </c>
      <c r="J1955" s="14" t="s">
        <v>212</v>
      </c>
      <c r="K1955" s="15" t="s">
        <v>30</v>
      </c>
      <c r="L1955" s="14" t="s">
        <v>2294</v>
      </c>
      <c r="M1955" s="14" t="s">
        <v>32</v>
      </c>
      <c r="N1955" s="14" t="s">
        <v>91</v>
      </c>
      <c r="O1955" s="14"/>
      <c r="P1955" s="15" t="s">
        <v>51</v>
      </c>
      <c r="Q1955" s="16">
        <v>9899</v>
      </c>
      <c r="R1955" s="17">
        <v>49.21</v>
      </c>
      <c r="S1955" s="18">
        <v>5781.9355000000005</v>
      </c>
      <c r="T1955" s="19" t="s">
        <v>36</v>
      </c>
      <c r="U1955" s="20" t="s">
        <v>69</v>
      </c>
      <c r="V1955" s="21" t="s">
        <v>75</v>
      </c>
      <c r="W1955" s="22">
        <v>1</v>
      </c>
      <c r="X1955" s="23"/>
    </row>
    <row r="1956" spans="1:24" s="1" customFormat="1" ht="35.1" customHeight="1" x14ac:dyDescent="0.3">
      <c r="A1956" s="11" t="s">
        <v>23</v>
      </c>
      <c r="B1956" s="11" t="s">
        <v>2295</v>
      </c>
      <c r="C1956" s="12" t="s">
        <v>2296</v>
      </c>
      <c r="D1956" s="53"/>
      <c r="E1956" s="39" t="str">
        <f>HYPERLINK("https://www.google.ru/search?q=1356317-690&amp;newwindow=1&amp;tbm=isch","Еще фото")</f>
        <v>Еще фото</v>
      </c>
      <c r="F1956" s="13"/>
      <c r="G1956" s="11" t="s">
        <v>2198</v>
      </c>
      <c r="H1956" s="11" t="s">
        <v>27</v>
      </c>
      <c r="I1956" s="14" t="s">
        <v>2190</v>
      </c>
      <c r="J1956" s="14" t="s">
        <v>29</v>
      </c>
      <c r="K1956" s="15" t="s">
        <v>64</v>
      </c>
      <c r="L1956" s="56" t="s">
        <v>2297</v>
      </c>
      <c r="M1956" s="14" t="s">
        <v>56</v>
      </c>
      <c r="N1956" s="14" t="s">
        <v>670</v>
      </c>
      <c r="O1956" s="14"/>
      <c r="P1956" s="15" t="s">
        <v>113</v>
      </c>
      <c r="Q1956" s="16">
        <v>6899</v>
      </c>
      <c r="R1956" s="17">
        <v>48.87</v>
      </c>
      <c r="S1956" s="18">
        <v>4056.9354999999996</v>
      </c>
      <c r="T1956" s="19" t="s">
        <v>36</v>
      </c>
      <c r="U1956" s="20" t="s">
        <v>37</v>
      </c>
      <c r="V1956" s="21" t="s">
        <v>86</v>
      </c>
      <c r="W1956" s="22">
        <v>13</v>
      </c>
      <c r="X1956" s="23"/>
    </row>
    <row r="1957" spans="1:24" s="1" customFormat="1" ht="35.1" customHeight="1" x14ac:dyDescent="0.3">
      <c r="A1957" s="24" t="s">
        <v>23</v>
      </c>
      <c r="B1957" s="24" t="s">
        <v>2295</v>
      </c>
      <c r="C1957" s="12" t="s">
        <v>2296</v>
      </c>
      <c r="D1957" s="54"/>
      <c r="E1957" s="39" t="str">
        <f>HYPERLINK("https://www.google.ru/search?q=1356317-690&amp;newwindow=1&amp;tbm=isch","Еще фото")</f>
        <v>Еще фото</v>
      </c>
      <c r="F1957" s="13"/>
      <c r="G1957" s="24" t="s">
        <v>2198</v>
      </c>
      <c r="H1957" s="24" t="s">
        <v>27</v>
      </c>
      <c r="I1957" s="24" t="s">
        <v>2190</v>
      </c>
      <c r="J1957" s="14" t="s">
        <v>29</v>
      </c>
      <c r="K1957" s="15" t="s">
        <v>64</v>
      </c>
      <c r="L1957" s="57"/>
      <c r="M1957" s="14" t="s">
        <v>56</v>
      </c>
      <c r="N1957" s="14" t="s">
        <v>670</v>
      </c>
      <c r="O1957" s="14"/>
      <c r="P1957" s="15" t="s">
        <v>113</v>
      </c>
      <c r="Q1957" s="16">
        <v>6899</v>
      </c>
      <c r="R1957" s="17">
        <v>48.87</v>
      </c>
      <c r="S1957" s="18">
        <v>4056.9354999999996</v>
      </c>
      <c r="T1957" s="19" t="s">
        <v>36</v>
      </c>
      <c r="U1957" s="20" t="s">
        <v>39</v>
      </c>
      <c r="V1957" s="21" t="s">
        <v>38</v>
      </c>
      <c r="W1957" s="22">
        <v>11</v>
      </c>
      <c r="X1957" s="23"/>
    </row>
    <row r="1958" spans="1:24" s="1" customFormat="1" ht="36.950000000000003" customHeight="1" x14ac:dyDescent="0.3">
      <c r="A1958" s="24" t="s">
        <v>23</v>
      </c>
      <c r="B1958" s="24" t="s">
        <v>2295</v>
      </c>
      <c r="C1958" s="12" t="s">
        <v>2296</v>
      </c>
      <c r="D1958" s="55"/>
      <c r="E1958" s="39" t="str">
        <f>HYPERLINK("https://www.google.ru/search?q=1356317-690&amp;newwindow=1&amp;tbm=isch","Еще фото")</f>
        <v>Еще фото</v>
      </c>
      <c r="F1958" s="13"/>
      <c r="G1958" s="24" t="s">
        <v>2198</v>
      </c>
      <c r="H1958" s="24" t="s">
        <v>27</v>
      </c>
      <c r="I1958" s="24" t="s">
        <v>2190</v>
      </c>
      <c r="J1958" s="14" t="s">
        <v>29</v>
      </c>
      <c r="K1958" s="15" t="s">
        <v>64</v>
      </c>
      <c r="L1958" s="58"/>
      <c r="M1958" s="14" t="s">
        <v>56</v>
      </c>
      <c r="N1958" s="14" t="s">
        <v>670</v>
      </c>
      <c r="O1958" s="14"/>
      <c r="P1958" s="15" t="s">
        <v>113</v>
      </c>
      <c r="Q1958" s="16">
        <v>6899</v>
      </c>
      <c r="R1958" s="17">
        <v>48.87</v>
      </c>
      <c r="S1958" s="18">
        <v>4056.9354999999996</v>
      </c>
      <c r="T1958" s="19" t="s">
        <v>36</v>
      </c>
      <c r="U1958" s="20" t="s">
        <v>41</v>
      </c>
      <c r="V1958" s="21" t="s">
        <v>40</v>
      </c>
      <c r="W1958" s="22">
        <v>1</v>
      </c>
      <c r="X1958" s="23"/>
    </row>
    <row r="1959" spans="1:24" s="1" customFormat="1" ht="35.1" customHeight="1" x14ac:dyDescent="0.3">
      <c r="A1959" s="11" t="s">
        <v>23</v>
      </c>
      <c r="B1959" s="11" t="s">
        <v>2286</v>
      </c>
      <c r="C1959" s="12" t="s">
        <v>2298</v>
      </c>
      <c r="D1959" s="53"/>
      <c r="E1959" s="39" t="str">
        <f>HYPERLINK("https://www.google.ru/search?q=1356318-690&amp;newwindow=1&amp;tbm=isch","Еще фото")</f>
        <v>Еще фото</v>
      </c>
      <c r="F1959" s="13"/>
      <c r="G1959" s="11" t="s">
        <v>2198</v>
      </c>
      <c r="H1959" s="11" t="s">
        <v>27</v>
      </c>
      <c r="I1959" s="14" t="s">
        <v>2190</v>
      </c>
      <c r="J1959" s="14" t="s">
        <v>29</v>
      </c>
      <c r="K1959" s="15" t="s">
        <v>64</v>
      </c>
      <c r="L1959" s="56" t="s">
        <v>2297</v>
      </c>
      <c r="M1959" s="14" t="s">
        <v>56</v>
      </c>
      <c r="N1959" s="14" t="s">
        <v>670</v>
      </c>
      <c r="O1959" s="14"/>
      <c r="P1959" s="15" t="s">
        <v>113</v>
      </c>
      <c r="Q1959" s="16">
        <v>6899</v>
      </c>
      <c r="R1959" s="17">
        <v>48.87</v>
      </c>
      <c r="S1959" s="18">
        <v>4056.9354999999996</v>
      </c>
      <c r="T1959" s="19" t="s">
        <v>36</v>
      </c>
      <c r="U1959" s="20" t="s">
        <v>37</v>
      </c>
      <c r="V1959" s="21" t="s">
        <v>86</v>
      </c>
      <c r="W1959" s="22">
        <v>6</v>
      </c>
      <c r="X1959" s="23"/>
    </row>
    <row r="1960" spans="1:24" s="1" customFormat="1" ht="35.1" customHeight="1" x14ac:dyDescent="0.3">
      <c r="A1960" s="24" t="s">
        <v>23</v>
      </c>
      <c r="B1960" s="24" t="s">
        <v>2286</v>
      </c>
      <c r="C1960" s="12" t="s">
        <v>2298</v>
      </c>
      <c r="D1960" s="54"/>
      <c r="E1960" s="39" t="str">
        <f>HYPERLINK("https://www.google.ru/search?q=1356318-690&amp;newwindow=1&amp;tbm=isch","Еще фото")</f>
        <v>Еще фото</v>
      </c>
      <c r="F1960" s="13"/>
      <c r="G1960" s="24" t="s">
        <v>2198</v>
      </c>
      <c r="H1960" s="24" t="s">
        <v>27</v>
      </c>
      <c r="I1960" s="24" t="s">
        <v>2190</v>
      </c>
      <c r="J1960" s="14" t="s">
        <v>29</v>
      </c>
      <c r="K1960" s="15" t="s">
        <v>64</v>
      </c>
      <c r="L1960" s="57"/>
      <c r="M1960" s="14" t="s">
        <v>56</v>
      </c>
      <c r="N1960" s="14" t="s">
        <v>670</v>
      </c>
      <c r="O1960" s="14"/>
      <c r="P1960" s="15" t="s">
        <v>113</v>
      </c>
      <c r="Q1960" s="16">
        <v>6899</v>
      </c>
      <c r="R1960" s="17">
        <v>48.87</v>
      </c>
      <c r="S1960" s="18">
        <v>4056.9354999999996</v>
      </c>
      <c r="T1960" s="19" t="s">
        <v>36</v>
      </c>
      <c r="U1960" s="20" t="s">
        <v>39</v>
      </c>
      <c r="V1960" s="21" t="s">
        <v>38</v>
      </c>
      <c r="W1960" s="22">
        <v>7</v>
      </c>
      <c r="X1960" s="23"/>
    </row>
    <row r="1961" spans="1:24" s="1" customFormat="1" ht="36.950000000000003" customHeight="1" x14ac:dyDescent="0.3">
      <c r="A1961" s="24" t="s">
        <v>23</v>
      </c>
      <c r="B1961" s="24" t="s">
        <v>2286</v>
      </c>
      <c r="C1961" s="12" t="s">
        <v>2298</v>
      </c>
      <c r="D1961" s="55"/>
      <c r="E1961" s="39" t="str">
        <f>HYPERLINK("https://www.google.ru/search?q=1356318-690&amp;newwindow=1&amp;tbm=isch","Еще фото")</f>
        <v>Еще фото</v>
      </c>
      <c r="F1961" s="13"/>
      <c r="G1961" s="24" t="s">
        <v>2198</v>
      </c>
      <c r="H1961" s="24" t="s">
        <v>27</v>
      </c>
      <c r="I1961" s="24" t="s">
        <v>2190</v>
      </c>
      <c r="J1961" s="14" t="s">
        <v>29</v>
      </c>
      <c r="K1961" s="15" t="s">
        <v>64</v>
      </c>
      <c r="L1961" s="58"/>
      <c r="M1961" s="14" t="s">
        <v>56</v>
      </c>
      <c r="N1961" s="14" t="s">
        <v>670</v>
      </c>
      <c r="O1961" s="14"/>
      <c r="P1961" s="15" t="s">
        <v>113</v>
      </c>
      <c r="Q1961" s="16">
        <v>6899</v>
      </c>
      <c r="R1961" s="17">
        <v>48.87</v>
      </c>
      <c r="S1961" s="18">
        <v>4056.9354999999996</v>
      </c>
      <c r="T1961" s="19" t="s">
        <v>36</v>
      </c>
      <c r="U1961" s="20" t="s">
        <v>41</v>
      </c>
      <c r="V1961" s="21" t="s">
        <v>40</v>
      </c>
      <c r="W1961" s="22">
        <v>2</v>
      </c>
      <c r="X1961" s="23"/>
    </row>
    <row r="1962" spans="1:24" s="1" customFormat="1" ht="35.1" customHeight="1" x14ac:dyDescent="0.3">
      <c r="A1962" s="11" t="s">
        <v>23</v>
      </c>
      <c r="B1962" s="11" t="s">
        <v>2299</v>
      </c>
      <c r="C1962" s="12" t="s">
        <v>2300</v>
      </c>
      <c r="D1962" s="53"/>
      <c r="E1962" s="39" t="str">
        <f>HYPERLINK("https://www.google.ru/search?q=1370409-390&amp;newwindow=1&amp;tbm=isch","Еще фото")</f>
        <v>Еще фото</v>
      </c>
      <c r="F1962" s="13"/>
      <c r="G1962" s="11" t="s">
        <v>2198</v>
      </c>
      <c r="H1962" s="11" t="s">
        <v>27</v>
      </c>
      <c r="I1962" s="14" t="s">
        <v>2190</v>
      </c>
      <c r="J1962" s="14" t="s">
        <v>29</v>
      </c>
      <c r="K1962" s="15" t="s">
        <v>30</v>
      </c>
      <c r="L1962" s="56" t="s">
        <v>2301</v>
      </c>
      <c r="M1962" s="14"/>
      <c r="N1962" s="14" t="s">
        <v>125</v>
      </c>
      <c r="O1962" s="14"/>
      <c r="P1962" s="15" t="s">
        <v>113</v>
      </c>
      <c r="Q1962" s="16">
        <v>6899</v>
      </c>
      <c r="R1962" s="17">
        <v>48.87</v>
      </c>
      <c r="S1962" s="18">
        <v>4056.9354999999996</v>
      </c>
      <c r="T1962" s="19" t="s">
        <v>36</v>
      </c>
      <c r="U1962" s="20" t="s">
        <v>39</v>
      </c>
      <c r="V1962" s="21" t="s">
        <v>40</v>
      </c>
      <c r="W1962" s="22">
        <v>9</v>
      </c>
      <c r="X1962" s="23"/>
    </row>
    <row r="1963" spans="1:24" s="1" customFormat="1" ht="35.1" customHeight="1" x14ac:dyDescent="0.3">
      <c r="A1963" s="24" t="s">
        <v>23</v>
      </c>
      <c r="B1963" s="24" t="s">
        <v>2299</v>
      </c>
      <c r="C1963" s="12" t="s">
        <v>2300</v>
      </c>
      <c r="D1963" s="54"/>
      <c r="E1963" s="39" t="str">
        <f>HYPERLINK("https://www.google.ru/search?q=1370409-390&amp;newwindow=1&amp;tbm=isch","Еще фото")</f>
        <v>Еще фото</v>
      </c>
      <c r="F1963" s="13"/>
      <c r="G1963" s="24" t="s">
        <v>2198</v>
      </c>
      <c r="H1963" s="24" t="s">
        <v>27</v>
      </c>
      <c r="I1963" s="24" t="s">
        <v>2190</v>
      </c>
      <c r="J1963" s="14" t="s">
        <v>29</v>
      </c>
      <c r="K1963" s="15" t="s">
        <v>30</v>
      </c>
      <c r="L1963" s="57"/>
      <c r="M1963" s="14"/>
      <c r="N1963" s="14" t="s">
        <v>125</v>
      </c>
      <c r="O1963" s="14"/>
      <c r="P1963" s="15" t="s">
        <v>113</v>
      </c>
      <c r="Q1963" s="16">
        <v>6899</v>
      </c>
      <c r="R1963" s="17">
        <v>48.87</v>
      </c>
      <c r="S1963" s="18">
        <v>4056.9354999999996</v>
      </c>
      <c r="T1963" s="19" t="s">
        <v>36</v>
      </c>
      <c r="U1963" s="20" t="s">
        <v>43</v>
      </c>
      <c r="V1963" s="21" t="s">
        <v>44</v>
      </c>
      <c r="W1963" s="22">
        <v>4</v>
      </c>
      <c r="X1963" s="23"/>
    </row>
    <row r="1964" spans="1:24" s="1" customFormat="1" ht="36.950000000000003" customHeight="1" x14ac:dyDescent="0.3">
      <c r="A1964" s="24" t="s">
        <v>23</v>
      </c>
      <c r="B1964" s="24" t="s">
        <v>2299</v>
      </c>
      <c r="C1964" s="12" t="s">
        <v>2300</v>
      </c>
      <c r="D1964" s="55"/>
      <c r="E1964" s="39" t="str">
        <f>HYPERLINK("https://www.google.ru/search?q=1370409-390&amp;newwindow=1&amp;tbm=isch","Еще фото")</f>
        <v>Еще фото</v>
      </c>
      <c r="F1964" s="13"/>
      <c r="G1964" s="24" t="s">
        <v>2198</v>
      </c>
      <c r="H1964" s="24" t="s">
        <v>27</v>
      </c>
      <c r="I1964" s="24" t="s">
        <v>2190</v>
      </c>
      <c r="J1964" s="14" t="s">
        <v>29</v>
      </c>
      <c r="K1964" s="15" t="s">
        <v>30</v>
      </c>
      <c r="L1964" s="58"/>
      <c r="M1964" s="14"/>
      <c r="N1964" s="14" t="s">
        <v>125</v>
      </c>
      <c r="O1964" s="14"/>
      <c r="P1964" s="15" t="s">
        <v>113</v>
      </c>
      <c r="Q1964" s="16">
        <v>6899</v>
      </c>
      <c r="R1964" s="17">
        <v>48.87</v>
      </c>
      <c r="S1964" s="18">
        <v>4056.9354999999996</v>
      </c>
      <c r="T1964" s="19" t="s">
        <v>36</v>
      </c>
      <c r="U1964" s="20" t="s">
        <v>104</v>
      </c>
      <c r="V1964" s="21" t="s">
        <v>105</v>
      </c>
      <c r="W1964" s="22">
        <v>2</v>
      </c>
      <c r="X1964" s="23"/>
    </row>
    <row r="1965" spans="1:24" s="1" customFormat="1" ht="108" customHeight="1" x14ac:dyDescent="0.3">
      <c r="A1965" s="11" t="s">
        <v>23</v>
      </c>
      <c r="B1965" s="11" t="s">
        <v>2302</v>
      </c>
      <c r="C1965" s="12" t="s">
        <v>2303</v>
      </c>
      <c r="D1965" s="25"/>
      <c r="E1965" s="39" t="str">
        <f>HYPERLINK("https://www.google.ru/search?q=1386902-707&amp;newwindow=1&amp;tbm=isch","Еще фото")</f>
        <v>Еще фото</v>
      </c>
      <c r="F1965" s="13"/>
      <c r="G1965" s="11" t="s">
        <v>2198</v>
      </c>
      <c r="H1965" s="11" t="s">
        <v>27</v>
      </c>
      <c r="I1965" s="14" t="s">
        <v>2190</v>
      </c>
      <c r="J1965" s="14" t="s">
        <v>29</v>
      </c>
      <c r="K1965" s="15" t="s">
        <v>30</v>
      </c>
      <c r="L1965" s="14" t="s">
        <v>2304</v>
      </c>
      <c r="M1965" s="14"/>
      <c r="N1965" s="14" t="s">
        <v>249</v>
      </c>
      <c r="O1965" s="14"/>
      <c r="P1965" s="15" t="s">
        <v>113</v>
      </c>
      <c r="Q1965" s="16">
        <v>14699</v>
      </c>
      <c r="R1965" s="17">
        <v>48.86</v>
      </c>
      <c r="S1965" s="18">
        <v>8645.4354999999996</v>
      </c>
      <c r="T1965" s="19" t="s">
        <v>36</v>
      </c>
      <c r="U1965" s="20" t="s">
        <v>39</v>
      </c>
      <c r="V1965" s="21" t="s">
        <v>40</v>
      </c>
      <c r="W1965" s="22">
        <v>2</v>
      </c>
      <c r="X1965" s="23"/>
    </row>
    <row r="1966" spans="1:24" s="1" customFormat="1" ht="26.1" customHeight="1" x14ac:dyDescent="0.3">
      <c r="A1966" s="11" t="s">
        <v>23</v>
      </c>
      <c r="B1966" s="11" t="s">
        <v>2305</v>
      </c>
      <c r="C1966" s="12" t="s">
        <v>2306</v>
      </c>
      <c r="D1966" s="53"/>
      <c r="E1966" s="39" t="str">
        <f>HYPERLINK("https://www.google.ru/search?q=1378495-400&amp;newwindow=1&amp;tbm=isch","Еще фото")</f>
        <v>Еще фото</v>
      </c>
      <c r="F1966" s="13" t="s">
        <v>98</v>
      </c>
      <c r="G1966" s="11" t="s">
        <v>2202</v>
      </c>
      <c r="H1966" s="11" t="s">
        <v>27</v>
      </c>
      <c r="I1966" s="14" t="s">
        <v>2190</v>
      </c>
      <c r="J1966" s="14" t="s">
        <v>29</v>
      </c>
      <c r="K1966" s="15" t="s">
        <v>30</v>
      </c>
      <c r="L1966" s="56" t="s">
        <v>2307</v>
      </c>
      <c r="M1966" s="14" t="s">
        <v>32</v>
      </c>
      <c r="N1966" s="14" t="s">
        <v>91</v>
      </c>
      <c r="O1966" s="14"/>
      <c r="P1966" s="15" t="s">
        <v>779</v>
      </c>
      <c r="Q1966" s="16">
        <v>21599</v>
      </c>
      <c r="R1966" s="17">
        <v>48.85</v>
      </c>
      <c r="S1966" s="18">
        <v>12704.9355</v>
      </c>
      <c r="T1966" s="19" t="s">
        <v>36</v>
      </c>
      <c r="U1966" s="20" t="s">
        <v>37</v>
      </c>
      <c r="V1966" s="21" t="s">
        <v>38</v>
      </c>
      <c r="W1966" s="22">
        <v>12</v>
      </c>
      <c r="X1966" s="23"/>
    </row>
    <row r="1967" spans="1:24" s="1" customFormat="1" ht="26.1" customHeight="1" x14ac:dyDescent="0.3">
      <c r="A1967" s="24" t="s">
        <v>23</v>
      </c>
      <c r="B1967" s="24" t="s">
        <v>2305</v>
      </c>
      <c r="C1967" s="12" t="s">
        <v>2306</v>
      </c>
      <c r="D1967" s="54"/>
      <c r="E1967" s="39" t="str">
        <f>HYPERLINK("https://www.google.ru/search?q=1378495-400&amp;newwindow=1&amp;tbm=isch","Еще фото")</f>
        <v>Еще фото</v>
      </c>
      <c r="F1967" s="13" t="s">
        <v>98</v>
      </c>
      <c r="G1967" s="24" t="s">
        <v>2202</v>
      </c>
      <c r="H1967" s="24" t="s">
        <v>27</v>
      </c>
      <c r="I1967" s="24" t="s">
        <v>2190</v>
      </c>
      <c r="J1967" s="14" t="s">
        <v>29</v>
      </c>
      <c r="K1967" s="15" t="s">
        <v>30</v>
      </c>
      <c r="L1967" s="57"/>
      <c r="M1967" s="14" t="s">
        <v>32</v>
      </c>
      <c r="N1967" s="14" t="s">
        <v>91</v>
      </c>
      <c r="O1967" s="14"/>
      <c r="P1967" s="15" t="s">
        <v>779</v>
      </c>
      <c r="Q1967" s="16">
        <v>21599</v>
      </c>
      <c r="R1967" s="17">
        <v>48.85</v>
      </c>
      <c r="S1967" s="18">
        <v>12704.9355</v>
      </c>
      <c r="T1967" s="19" t="s">
        <v>36</v>
      </c>
      <c r="U1967" s="20" t="s">
        <v>39</v>
      </c>
      <c r="V1967" s="21" t="s">
        <v>40</v>
      </c>
      <c r="W1967" s="22">
        <v>13</v>
      </c>
      <c r="X1967" s="23"/>
    </row>
    <row r="1968" spans="1:24" s="1" customFormat="1" ht="26.1" customHeight="1" x14ac:dyDescent="0.3">
      <c r="A1968" s="24" t="s">
        <v>23</v>
      </c>
      <c r="B1968" s="24" t="s">
        <v>2305</v>
      </c>
      <c r="C1968" s="12" t="s">
        <v>2306</v>
      </c>
      <c r="D1968" s="54"/>
      <c r="E1968" s="39" t="str">
        <f>HYPERLINK("https://www.google.ru/search?q=1378495-400&amp;newwindow=1&amp;tbm=isch","Еще фото")</f>
        <v>Еще фото</v>
      </c>
      <c r="F1968" s="13" t="s">
        <v>98</v>
      </c>
      <c r="G1968" s="24" t="s">
        <v>2202</v>
      </c>
      <c r="H1968" s="24" t="s">
        <v>27</v>
      </c>
      <c r="I1968" s="24" t="s">
        <v>2190</v>
      </c>
      <c r="J1968" s="14" t="s">
        <v>29</v>
      </c>
      <c r="K1968" s="15" t="s">
        <v>30</v>
      </c>
      <c r="L1968" s="57"/>
      <c r="M1968" s="14" t="s">
        <v>32</v>
      </c>
      <c r="N1968" s="14" t="s">
        <v>91</v>
      </c>
      <c r="O1968" s="14"/>
      <c r="P1968" s="15" t="s">
        <v>779</v>
      </c>
      <c r="Q1968" s="16">
        <v>21599</v>
      </c>
      <c r="R1968" s="17">
        <v>48.85</v>
      </c>
      <c r="S1968" s="18">
        <v>12704.9355</v>
      </c>
      <c r="T1968" s="19" t="s">
        <v>36</v>
      </c>
      <c r="U1968" s="20" t="s">
        <v>41</v>
      </c>
      <c r="V1968" s="21" t="s">
        <v>42</v>
      </c>
      <c r="W1968" s="22">
        <v>7</v>
      </c>
      <c r="X1968" s="23"/>
    </row>
    <row r="1969" spans="1:24" s="1" customFormat="1" ht="26.1" customHeight="1" x14ac:dyDescent="0.3">
      <c r="A1969" s="24" t="s">
        <v>23</v>
      </c>
      <c r="B1969" s="24" t="s">
        <v>2305</v>
      </c>
      <c r="C1969" s="12" t="s">
        <v>2306</v>
      </c>
      <c r="D1969" s="55"/>
      <c r="E1969" s="39" t="str">
        <f>HYPERLINK("https://www.google.ru/search?q=1378495-400&amp;newwindow=1&amp;tbm=isch","Еще фото")</f>
        <v>Еще фото</v>
      </c>
      <c r="F1969" s="13" t="s">
        <v>98</v>
      </c>
      <c r="G1969" s="24" t="s">
        <v>2202</v>
      </c>
      <c r="H1969" s="24" t="s">
        <v>27</v>
      </c>
      <c r="I1969" s="24" t="s">
        <v>2190</v>
      </c>
      <c r="J1969" s="14" t="s">
        <v>29</v>
      </c>
      <c r="K1969" s="15" t="s">
        <v>30</v>
      </c>
      <c r="L1969" s="58"/>
      <c r="M1969" s="14" t="s">
        <v>32</v>
      </c>
      <c r="N1969" s="14" t="s">
        <v>91</v>
      </c>
      <c r="O1969" s="14"/>
      <c r="P1969" s="15" t="s">
        <v>779</v>
      </c>
      <c r="Q1969" s="16">
        <v>21599</v>
      </c>
      <c r="R1969" s="17">
        <v>48.85</v>
      </c>
      <c r="S1969" s="18">
        <v>12704.9355</v>
      </c>
      <c r="T1969" s="19" t="s">
        <v>36</v>
      </c>
      <c r="U1969" s="20" t="s">
        <v>43</v>
      </c>
      <c r="V1969" s="21" t="s">
        <v>44</v>
      </c>
      <c r="W1969" s="22">
        <v>3</v>
      </c>
      <c r="X1969" s="23"/>
    </row>
    <row r="1970" spans="1:24" s="1" customFormat="1" ht="26.1" customHeight="1" x14ac:dyDescent="0.3">
      <c r="A1970" s="11" t="s">
        <v>23</v>
      </c>
      <c r="B1970" s="11" t="s">
        <v>2308</v>
      </c>
      <c r="C1970" s="12" t="s">
        <v>2309</v>
      </c>
      <c r="D1970" s="53"/>
      <c r="E1970" s="39" t="str">
        <f>HYPERLINK("https://www.google.ru/search?q=1379306-400&amp;newwindow=1&amp;tbm=isch","Еще фото")</f>
        <v>Еще фото</v>
      </c>
      <c r="F1970" s="13"/>
      <c r="G1970" s="11" t="s">
        <v>2198</v>
      </c>
      <c r="H1970" s="11" t="s">
        <v>27</v>
      </c>
      <c r="I1970" s="14" t="s">
        <v>2190</v>
      </c>
      <c r="J1970" s="14" t="s">
        <v>29</v>
      </c>
      <c r="K1970" s="15" t="s">
        <v>30</v>
      </c>
      <c r="L1970" s="56" t="s">
        <v>2310</v>
      </c>
      <c r="M1970" s="14"/>
      <c r="N1970" s="14" t="s">
        <v>91</v>
      </c>
      <c r="O1970" s="14"/>
      <c r="P1970" s="15" t="s">
        <v>779</v>
      </c>
      <c r="Q1970" s="16">
        <v>11999</v>
      </c>
      <c r="R1970" s="17">
        <v>48.85</v>
      </c>
      <c r="S1970" s="18">
        <v>7058.4354999999996</v>
      </c>
      <c r="T1970" s="19" t="s">
        <v>36</v>
      </c>
      <c r="U1970" s="20" t="s">
        <v>37</v>
      </c>
      <c r="V1970" s="21" t="s">
        <v>38</v>
      </c>
      <c r="W1970" s="22">
        <v>1</v>
      </c>
      <c r="X1970" s="23"/>
    </row>
    <row r="1971" spans="1:24" s="1" customFormat="1" ht="26.1" customHeight="1" x14ac:dyDescent="0.3">
      <c r="A1971" s="24" t="s">
        <v>23</v>
      </c>
      <c r="B1971" s="24" t="s">
        <v>2308</v>
      </c>
      <c r="C1971" s="12" t="s">
        <v>2309</v>
      </c>
      <c r="D1971" s="54"/>
      <c r="E1971" s="39" t="str">
        <f>HYPERLINK("https://www.google.ru/search?q=1379306-400&amp;newwindow=1&amp;tbm=isch","Еще фото")</f>
        <v>Еще фото</v>
      </c>
      <c r="F1971" s="13"/>
      <c r="G1971" s="24" t="s">
        <v>2198</v>
      </c>
      <c r="H1971" s="24" t="s">
        <v>27</v>
      </c>
      <c r="I1971" s="24" t="s">
        <v>2190</v>
      </c>
      <c r="J1971" s="14" t="s">
        <v>29</v>
      </c>
      <c r="K1971" s="15" t="s">
        <v>30</v>
      </c>
      <c r="L1971" s="57"/>
      <c r="M1971" s="14"/>
      <c r="N1971" s="14" t="s">
        <v>91</v>
      </c>
      <c r="O1971" s="14"/>
      <c r="P1971" s="15" t="s">
        <v>779</v>
      </c>
      <c r="Q1971" s="16">
        <v>11999</v>
      </c>
      <c r="R1971" s="17">
        <v>48.85</v>
      </c>
      <c r="S1971" s="18">
        <v>7058.4354999999996</v>
      </c>
      <c r="T1971" s="19" t="s">
        <v>36</v>
      </c>
      <c r="U1971" s="20" t="s">
        <v>39</v>
      </c>
      <c r="V1971" s="21" t="s">
        <v>40</v>
      </c>
      <c r="W1971" s="22">
        <v>10</v>
      </c>
      <c r="X1971" s="23"/>
    </row>
    <row r="1972" spans="1:24" s="1" customFormat="1" ht="26.1" customHeight="1" x14ac:dyDescent="0.3">
      <c r="A1972" s="24" t="s">
        <v>23</v>
      </c>
      <c r="B1972" s="24" t="s">
        <v>2308</v>
      </c>
      <c r="C1972" s="12" t="s">
        <v>2309</v>
      </c>
      <c r="D1972" s="54"/>
      <c r="E1972" s="39" t="str">
        <f>HYPERLINK("https://www.google.ru/search?q=1379306-400&amp;newwindow=1&amp;tbm=isch","Еще фото")</f>
        <v>Еще фото</v>
      </c>
      <c r="F1972" s="13"/>
      <c r="G1972" s="24" t="s">
        <v>2198</v>
      </c>
      <c r="H1972" s="24" t="s">
        <v>27</v>
      </c>
      <c r="I1972" s="24" t="s">
        <v>2190</v>
      </c>
      <c r="J1972" s="14" t="s">
        <v>29</v>
      </c>
      <c r="K1972" s="15" t="s">
        <v>30</v>
      </c>
      <c r="L1972" s="57"/>
      <c r="M1972" s="14"/>
      <c r="N1972" s="14" t="s">
        <v>91</v>
      </c>
      <c r="O1972" s="14"/>
      <c r="P1972" s="15" t="s">
        <v>779</v>
      </c>
      <c r="Q1972" s="16">
        <v>11999</v>
      </c>
      <c r="R1972" s="17">
        <v>48.85</v>
      </c>
      <c r="S1972" s="18">
        <v>7058.4354999999996</v>
      </c>
      <c r="T1972" s="19" t="s">
        <v>36</v>
      </c>
      <c r="U1972" s="20" t="s">
        <v>41</v>
      </c>
      <c r="V1972" s="21" t="s">
        <v>42</v>
      </c>
      <c r="W1972" s="22">
        <v>1</v>
      </c>
      <c r="X1972" s="23"/>
    </row>
    <row r="1973" spans="1:24" s="1" customFormat="1" ht="26.1" customHeight="1" x14ac:dyDescent="0.3">
      <c r="A1973" s="24" t="s">
        <v>23</v>
      </c>
      <c r="B1973" s="24" t="s">
        <v>2308</v>
      </c>
      <c r="C1973" s="12" t="s">
        <v>2309</v>
      </c>
      <c r="D1973" s="55"/>
      <c r="E1973" s="39" t="str">
        <f>HYPERLINK("https://www.google.ru/search?q=1379306-400&amp;newwindow=1&amp;tbm=isch","Еще фото")</f>
        <v>Еще фото</v>
      </c>
      <c r="F1973" s="13"/>
      <c r="G1973" s="24" t="s">
        <v>2198</v>
      </c>
      <c r="H1973" s="24" t="s">
        <v>27</v>
      </c>
      <c r="I1973" s="24" t="s">
        <v>2190</v>
      </c>
      <c r="J1973" s="14" t="s">
        <v>29</v>
      </c>
      <c r="K1973" s="15" t="s">
        <v>30</v>
      </c>
      <c r="L1973" s="58"/>
      <c r="M1973" s="14"/>
      <c r="N1973" s="14" t="s">
        <v>91</v>
      </c>
      <c r="O1973" s="14"/>
      <c r="P1973" s="15" t="s">
        <v>779</v>
      </c>
      <c r="Q1973" s="16">
        <v>11999</v>
      </c>
      <c r="R1973" s="17">
        <v>48.85</v>
      </c>
      <c r="S1973" s="18">
        <v>7058.4354999999996</v>
      </c>
      <c r="T1973" s="19" t="s">
        <v>36</v>
      </c>
      <c r="U1973" s="20" t="s">
        <v>43</v>
      </c>
      <c r="V1973" s="21" t="s">
        <v>44</v>
      </c>
      <c r="W1973" s="22">
        <v>2</v>
      </c>
      <c r="X1973" s="23"/>
    </row>
    <row r="1974" spans="1:24" s="1" customFormat="1" ht="51.95" customHeight="1" x14ac:dyDescent="0.3">
      <c r="A1974" s="11" t="s">
        <v>23</v>
      </c>
      <c r="B1974" s="11" t="s">
        <v>2311</v>
      </c>
      <c r="C1974" s="12" t="s">
        <v>2312</v>
      </c>
      <c r="D1974" s="59"/>
      <c r="E1974" s="39" t="str">
        <f>HYPERLINK("https://www.google.ru/search?q=1357093-781&amp;newwindow=1&amp;tbm=isch","Еще фото")</f>
        <v>Еще фото</v>
      </c>
      <c r="F1974" s="13"/>
      <c r="G1974" s="11" t="s">
        <v>2198</v>
      </c>
      <c r="H1974" s="11" t="s">
        <v>27</v>
      </c>
      <c r="I1974" s="14" t="s">
        <v>2190</v>
      </c>
      <c r="J1974" s="14" t="s">
        <v>29</v>
      </c>
      <c r="K1974" s="15" t="s">
        <v>30</v>
      </c>
      <c r="L1974" s="56" t="s">
        <v>2313</v>
      </c>
      <c r="M1974" s="14" t="s">
        <v>56</v>
      </c>
      <c r="N1974" s="14" t="s">
        <v>84</v>
      </c>
      <c r="O1974" s="14" t="s">
        <v>34</v>
      </c>
      <c r="P1974" s="15" t="s">
        <v>113</v>
      </c>
      <c r="Q1974" s="16">
        <v>7599</v>
      </c>
      <c r="R1974" s="17">
        <v>48.84</v>
      </c>
      <c r="S1974" s="18">
        <v>4470.9354999999996</v>
      </c>
      <c r="T1974" s="19" t="s">
        <v>36</v>
      </c>
      <c r="U1974" s="20" t="s">
        <v>37</v>
      </c>
      <c r="V1974" s="21" t="s">
        <v>38</v>
      </c>
      <c r="W1974" s="22">
        <v>7</v>
      </c>
      <c r="X1974" s="23"/>
    </row>
    <row r="1975" spans="1:24" s="1" customFormat="1" ht="60.95" customHeight="1" x14ac:dyDescent="0.3">
      <c r="A1975" s="24" t="s">
        <v>23</v>
      </c>
      <c r="B1975" s="24" t="s">
        <v>2311</v>
      </c>
      <c r="C1975" s="12" t="s">
        <v>2312</v>
      </c>
      <c r="D1975" s="60"/>
      <c r="E1975" s="39" t="str">
        <f>HYPERLINK("https://www.google.ru/search?q=1357093-781&amp;newwindow=1&amp;tbm=isch","Еще фото")</f>
        <v>Еще фото</v>
      </c>
      <c r="F1975" s="13"/>
      <c r="G1975" s="24" t="s">
        <v>2198</v>
      </c>
      <c r="H1975" s="24" t="s">
        <v>27</v>
      </c>
      <c r="I1975" s="24" t="s">
        <v>2190</v>
      </c>
      <c r="J1975" s="14" t="s">
        <v>29</v>
      </c>
      <c r="K1975" s="15" t="s">
        <v>30</v>
      </c>
      <c r="L1975" s="58"/>
      <c r="M1975" s="14" t="s">
        <v>56</v>
      </c>
      <c r="N1975" s="14" t="s">
        <v>84</v>
      </c>
      <c r="O1975" s="14" t="s">
        <v>34</v>
      </c>
      <c r="P1975" s="15" t="s">
        <v>113</v>
      </c>
      <c r="Q1975" s="16">
        <v>7599</v>
      </c>
      <c r="R1975" s="17">
        <v>48.84</v>
      </c>
      <c r="S1975" s="18">
        <v>4470.9354999999996</v>
      </c>
      <c r="T1975" s="19" t="s">
        <v>36</v>
      </c>
      <c r="U1975" s="20" t="s">
        <v>41</v>
      </c>
      <c r="V1975" s="21" t="s">
        <v>42</v>
      </c>
      <c r="W1975" s="22">
        <v>2</v>
      </c>
      <c r="X1975" s="23"/>
    </row>
    <row r="1976" spans="1:24" s="1" customFormat="1" ht="26.1" customHeight="1" x14ac:dyDescent="0.3">
      <c r="A1976" s="11" t="s">
        <v>23</v>
      </c>
      <c r="B1976" s="11" t="s">
        <v>2196</v>
      </c>
      <c r="C1976" s="12" t="s">
        <v>2314</v>
      </c>
      <c r="D1976" s="53"/>
      <c r="E1976" s="39" t="str">
        <f>HYPERLINK("https://www.google.ru/search?q=1389914-400&amp;newwindow=1&amp;tbm=isch","Еще фото")</f>
        <v>Еще фото</v>
      </c>
      <c r="F1976" s="13"/>
      <c r="G1976" s="11" t="s">
        <v>2198</v>
      </c>
      <c r="H1976" s="11" t="s">
        <v>27</v>
      </c>
      <c r="I1976" s="14" t="s">
        <v>2190</v>
      </c>
      <c r="J1976" s="14" t="s">
        <v>47</v>
      </c>
      <c r="K1976" s="15" t="s">
        <v>30</v>
      </c>
      <c r="L1976" s="56" t="s">
        <v>2199</v>
      </c>
      <c r="M1976" s="14"/>
      <c r="N1976" s="14" t="s">
        <v>91</v>
      </c>
      <c r="O1976" s="14"/>
      <c r="P1976" s="15" t="s">
        <v>2315</v>
      </c>
      <c r="Q1976" s="16">
        <v>14399</v>
      </c>
      <c r="R1976" s="17">
        <v>48.83</v>
      </c>
      <c r="S1976" s="18">
        <v>8472.9354999999996</v>
      </c>
      <c r="T1976" s="19" t="s">
        <v>36</v>
      </c>
      <c r="U1976" s="20" t="s">
        <v>37</v>
      </c>
      <c r="V1976" s="21" t="s">
        <v>38</v>
      </c>
      <c r="W1976" s="22">
        <v>5</v>
      </c>
      <c r="X1976" s="23"/>
    </row>
    <row r="1977" spans="1:24" s="1" customFormat="1" ht="26.1" customHeight="1" x14ac:dyDescent="0.3">
      <c r="A1977" s="24" t="s">
        <v>23</v>
      </c>
      <c r="B1977" s="24" t="s">
        <v>2196</v>
      </c>
      <c r="C1977" s="12" t="s">
        <v>2314</v>
      </c>
      <c r="D1977" s="54"/>
      <c r="E1977" s="39" t="str">
        <f>HYPERLINK("https://www.google.ru/search?q=1389914-400&amp;newwindow=1&amp;tbm=isch","Еще фото")</f>
        <v>Еще фото</v>
      </c>
      <c r="F1977" s="13"/>
      <c r="G1977" s="24" t="s">
        <v>2198</v>
      </c>
      <c r="H1977" s="24" t="s">
        <v>27</v>
      </c>
      <c r="I1977" s="24" t="s">
        <v>2190</v>
      </c>
      <c r="J1977" s="14" t="s">
        <v>47</v>
      </c>
      <c r="K1977" s="15" t="s">
        <v>30</v>
      </c>
      <c r="L1977" s="57"/>
      <c r="M1977" s="14"/>
      <c r="N1977" s="14" t="s">
        <v>91</v>
      </c>
      <c r="O1977" s="14"/>
      <c r="P1977" s="15" t="s">
        <v>2315</v>
      </c>
      <c r="Q1977" s="16">
        <v>14399</v>
      </c>
      <c r="R1977" s="17">
        <v>48.83</v>
      </c>
      <c r="S1977" s="18">
        <v>8472.9354999999996</v>
      </c>
      <c r="T1977" s="19" t="s">
        <v>36</v>
      </c>
      <c r="U1977" s="20" t="s">
        <v>39</v>
      </c>
      <c r="V1977" s="21" t="s">
        <v>40</v>
      </c>
      <c r="W1977" s="22">
        <v>5</v>
      </c>
      <c r="X1977" s="23"/>
    </row>
    <row r="1978" spans="1:24" s="1" customFormat="1" ht="26.1" customHeight="1" x14ac:dyDescent="0.3">
      <c r="A1978" s="24" t="s">
        <v>23</v>
      </c>
      <c r="B1978" s="24" t="s">
        <v>2196</v>
      </c>
      <c r="C1978" s="12" t="s">
        <v>2314</v>
      </c>
      <c r="D1978" s="54"/>
      <c r="E1978" s="39" t="str">
        <f>HYPERLINK("https://www.google.ru/search?q=1389914-400&amp;newwindow=1&amp;tbm=isch","Еще фото")</f>
        <v>Еще фото</v>
      </c>
      <c r="F1978" s="13"/>
      <c r="G1978" s="24" t="s">
        <v>2198</v>
      </c>
      <c r="H1978" s="24" t="s">
        <v>27</v>
      </c>
      <c r="I1978" s="24" t="s">
        <v>2190</v>
      </c>
      <c r="J1978" s="14" t="s">
        <v>47</v>
      </c>
      <c r="K1978" s="15" t="s">
        <v>30</v>
      </c>
      <c r="L1978" s="57"/>
      <c r="M1978" s="14"/>
      <c r="N1978" s="14" t="s">
        <v>91</v>
      </c>
      <c r="O1978" s="14"/>
      <c r="P1978" s="15" t="s">
        <v>2315</v>
      </c>
      <c r="Q1978" s="16">
        <v>14399</v>
      </c>
      <c r="R1978" s="17">
        <v>48.83</v>
      </c>
      <c r="S1978" s="18">
        <v>8472.9354999999996</v>
      </c>
      <c r="T1978" s="19" t="s">
        <v>36</v>
      </c>
      <c r="U1978" s="20" t="s">
        <v>41</v>
      </c>
      <c r="V1978" s="21" t="s">
        <v>42</v>
      </c>
      <c r="W1978" s="22">
        <v>5</v>
      </c>
      <c r="X1978" s="23"/>
    </row>
    <row r="1979" spans="1:24" s="1" customFormat="1" ht="26.1" customHeight="1" x14ac:dyDescent="0.3">
      <c r="A1979" s="24" t="s">
        <v>23</v>
      </c>
      <c r="B1979" s="24" t="s">
        <v>2196</v>
      </c>
      <c r="C1979" s="12" t="s">
        <v>2314</v>
      </c>
      <c r="D1979" s="55"/>
      <c r="E1979" s="39" t="str">
        <f>HYPERLINK("https://www.google.ru/search?q=1389914-400&amp;newwindow=1&amp;tbm=isch","Еще фото")</f>
        <v>Еще фото</v>
      </c>
      <c r="F1979" s="13"/>
      <c r="G1979" s="24" t="s">
        <v>2198</v>
      </c>
      <c r="H1979" s="24" t="s">
        <v>27</v>
      </c>
      <c r="I1979" s="24" t="s">
        <v>2190</v>
      </c>
      <c r="J1979" s="14" t="s">
        <v>47</v>
      </c>
      <c r="K1979" s="15" t="s">
        <v>30</v>
      </c>
      <c r="L1979" s="58"/>
      <c r="M1979" s="14"/>
      <c r="N1979" s="14" t="s">
        <v>91</v>
      </c>
      <c r="O1979" s="14"/>
      <c r="P1979" s="15" t="s">
        <v>2315</v>
      </c>
      <c r="Q1979" s="16">
        <v>14399</v>
      </c>
      <c r="R1979" s="17">
        <v>48.83</v>
      </c>
      <c r="S1979" s="18">
        <v>8472.9354999999996</v>
      </c>
      <c r="T1979" s="19" t="s">
        <v>36</v>
      </c>
      <c r="U1979" s="20" t="s">
        <v>43</v>
      </c>
      <c r="V1979" s="21" t="s">
        <v>44</v>
      </c>
      <c r="W1979" s="22">
        <v>3</v>
      </c>
      <c r="X1979" s="23"/>
    </row>
    <row r="1980" spans="1:24" s="1" customFormat="1" ht="35.1" customHeight="1" x14ac:dyDescent="0.3">
      <c r="A1980" s="11" t="s">
        <v>23</v>
      </c>
      <c r="B1980" s="11" t="s">
        <v>2316</v>
      </c>
      <c r="C1980" s="12" t="s">
        <v>2317</v>
      </c>
      <c r="D1980" s="53"/>
      <c r="E1980" s="39" t="str">
        <f>HYPERLINK("https://www.google.ru/search?q=1389357-001&amp;newwindow=1&amp;tbm=isch","Еще фото")</f>
        <v>Еще фото</v>
      </c>
      <c r="F1980" s="13"/>
      <c r="G1980" s="11" t="s">
        <v>2189</v>
      </c>
      <c r="H1980" s="11" t="s">
        <v>27</v>
      </c>
      <c r="I1980" s="14" t="s">
        <v>2190</v>
      </c>
      <c r="J1980" s="14" t="s">
        <v>29</v>
      </c>
      <c r="K1980" s="15" t="s">
        <v>30</v>
      </c>
      <c r="L1980" s="56" t="s">
        <v>2318</v>
      </c>
      <c r="M1980" s="14"/>
      <c r="N1980" s="14" t="s">
        <v>33</v>
      </c>
      <c r="O1980" s="14"/>
      <c r="P1980" s="15" t="s">
        <v>113</v>
      </c>
      <c r="Q1980" s="16">
        <v>9999</v>
      </c>
      <c r="R1980" s="17">
        <v>48.82</v>
      </c>
      <c r="S1980" s="18">
        <v>5885.4355000000005</v>
      </c>
      <c r="T1980" s="19" t="s">
        <v>36</v>
      </c>
      <c r="U1980" s="20" t="s">
        <v>39</v>
      </c>
      <c r="V1980" s="21" t="s">
        <v>40</v>
      </c>
      <c r="W1980" s="22">
        <v>16</v>
      </c>
      <c r="X1980" s="23"/>
    </row>
    <row r="1981" spans="1:24" s="1" customFormat="1" ht="35.1" customHeight="1" x14ac:dyDescent="0.3">
      <c r="A1981" s="24" t="s">
        <v>23</v>
      </c>
      <c r="B1981" s="24" t="s">
        <v>2316</v>
      </c>
      <c r="C1981" s="12" t="s">
        <v>2317</v>
      </c>
      <c r="D1981" s="54"/>
      <c r="E1981" s="39" t="str">
        <f>HYPERLINK("https://www.google.ru/search?q=1389357-001&amp;newwindow=1&amp;tbm=isch","Еще фото")</f>
        <v>Еще фото</v>
      </c>
      <c r="F1981" s="13"/>
      <c r="G1981" s="24" t="s">
        <v>2189</v>
      </c>
      <c r="H1981" s="24" t="s">
        <v>27</v>
      </c>
      <c r="I1981" s="24" t="s">
        <v>2190</v>
      </c>
      <c r="J1981" s="14" t="s">
        <v>29</v>
      </c>
      <c r="K1981" s="15" t="s">
        <v>30</v>
      </c>
      <c r="L1981" s="57"/>
      <c r="M1981" s="14"/>
      <c r="N1981" s="14" t="s">
        <v>33</v>
      </c>
      <c r="O1981" s="14"/>
      <c r="P1981" s="15" t="s">
        <v>113</v>
      </c>
      <c r="Q1981" s="16">
        <v>9999</v>
      </c>
      <c r="R1981" s="17">
        <v>48.82</v>
      </c>
      <c r="S1981" s="18">
        <v>5885.4355000000005</v>
      </c>
      <c r="T1981" s="19" t="s">
        <v>36</v>
      </c>
      <c r="U1981" s="20" t="s">
        <v>41</v>
      </c>
      <c r="V1981" s="21" t="s">
        <v>42</v>
      </c>
      <c r="W1981" s="22">
        <v>12</v>
      </c>
      <c r="X1981" s="23"/>
    </row>
    <row r="1982" spans="1:24" s="1" customFormat="1" ht="36.950000000000003" customHeight="1" x14ac:dyDescent="0.3">
      <c r="A1982" s="24" t="s">
        <v>23</v>
      </c>
      <c r="B1982" s="24" t="s">
        <v>2316</v>
      </c>
      <c r="C1982" s="12" t="s">
        <v>2317</v>
      </c>
      <c r="D1982" s="55"/>
      <c r="E1982" s="39" t="str">
        <f>HYPERLINK("https://www.google.ru/search?q=1389357-001&amp;newwindow=1&amp;tbm=isch","Еще фото")</f>
        <v>Еще фото</v>
      </c>
      <c r="F1982" s="13"/>
      <c r="G1982" s="24" t="s">
        <v>2189</v>
      </c>
      <c r="H1982" s="24" t="s">
        <v>27</v>
      </c>
      <c r="I1982" s="24" t="s">
        <v>2190</v>
      </c>
      <c r="J1982" s="14" t="s">
        <v>29</v>
      </c>
      <c r="K1982" s="15" t="s">
        <v>30</v>
      </c>
      <c r="L1982" s="58"/>
      <c r="M1982" s="14"/>
      <c r="N1982" s="14" t="s">
        <v>33</v>
      </c>
      <c r="O1982" s="14"/>
      <c r="P1982" s="15" t="s">
        <v>113</v>
      </c>
      <c r="Q1982" s="16">
        <v>9999</v>
      </c>
      <c r="R1982" s="17">
        <v>48.82</v>
      </c>
      <c r="S1982" s="18">
        <v>5885.4355000000005</v>
      </c>
      <c r="T1982" s="19" t="s">
        <v>36</v>
      </c>
      <c r="U1982" s="20" t="s">
        <v>43</v>
      </c>
      <c r="V1982" s="21" t="s">
        <v>44</v>
      </c>
      <c r="W1982" s="22">
        <v>1</v>
      </c>
      <c r="X1982" s="23"/>
    </row>
    <row r="1983" spans="1:24" s="1" customFormat="1" ht="17.100000000000001" customHeight="1" x14ac:dyDescent="0.3">
      <c r="A1983" s="11" t="s">
        <v>23</v>
      </c>
      <c r="B1983" s="11" t="s">
        <v>2208</v>
      </c>
      <c r="C1983" s="12" t="s">
        <v>2319</v>
      </c>
      <c r="D1983" s="53"/>
      <c r="E1983" s="39" t="str">
        <f t="shared" ref="E1983:E1988" si="49">HYPERLINK("https://www.google.ru/search?q=1373354-012&amp;newwindow=1&amp;tbm=isch","Еще фото")</f>
        <v>Еще фото</v>
      </c>
      <c r="F1983" s="13"/>
      <c r="G1983" s="11" t="s">
        <v>2198</v>
      </c>
      <c r="H1983" s="11" t="s">
        <v>27</v>
      </c>
      <c r="I1983" s="14" t="s">
        <v>2190</v>
      </c>
      <c r="J1983" s="14" t="s">
        <v>29</v>
      </c>
      <c r="K1983" s="15" t="s">
        <v>30</v>
      </c>
      <c r="L1983" s="56" t="s">
        <v>2210</v>
      </c>
      <c r="M1983" s="14" t="s">
        <v>90</v>
      </c>
      <c r="N1983" s="14" t="s">
        <v>166</v>
      </c>
      <c r="O1983" s="14"/>
      <c r="P1983" s="15" t="s">
        <v>51</v>
      </c>
      <c r="Q1983" s="16">
        <v>8999</v>
      </c>
      <c r="R1983" s="17">
        <v>48.8</v>
      </c>
      <c r="S1983" s="18">
        <v>5298.9355000000005</v>
      </c>
      <c r="T1983" s="19" t="s">
        <v>36</v>
      </c>
      <c r="U1983" s="20" t="s">
        <v>69</v>
      </c>
      <c r="V1983" s="21" t="s">
        <v>75</v>
      </c>
      <c r="W1983" s="22">
        <v>1</v>
      </c>
      <c r="X1983" s="23"/>
    </row>
    <row r="1984" spans="1:24" s="1" customFormat="1" ht="17.100000000000001" customHeight="1" x14ac:dyDescent="0.3">
      <c r="A1984" s="24" t="s">
        <v>23</v>
      </c>
      <c r="B1984" s="24" t="s">
        <v>2208</v>
      </c>
      <c r="C1984" s="12" t="s">
        <v>2319</v>
      </c>
      <c r="D1984" s="54"/>
      <c r="E1984" s="39" t="str">
        <f t="shared" si="49"/>
        <v>Еще фото</v>
      </c>
      <c r="F1984" s="13"/>
      <c r="G1984" s="24" t="s">
        <v>2198</v>
      </c>
      <c r="H1984" s="24" t="s">
        <v>27</v>
      </c>
      <c r="I1984" s="24" t="s">
        <v>2190</v>
      </c>
      <c r="J1984" s="14" t="s">
        <v>29</v>
      </c>
      <c r="K1984" s="15" t="s">
        <v>30</v>
      </c>
      <c r="L1984" s="57"/>
      <c r="M1984" s="14" t="s">
        <v>90</v>
      </c>
      <c r="N1984" s="14" t="s">
        <v>166</v>
      </c>
      <c r="O1984" s="14"/>
      <c r="P1984" s="15" t="s">
        <v>51</v>
      </c>
      <c r="Q1984" s="16">
        <v>8999</v>
      </c>
      <c r="R1984" s="17">
        <v>48.8</v>
      </c>
      <c r="S1984" s="18">
        <v>5298.9355000000005</v>
      </c>
      <c r="T1984" s="19" t="s">
        <v>36</v>
      </c>
      <c r="U1984" s="20" t="s">
        <v>37</v>
      </c>
      <c r="V1984" s="21" t="s">
        <v>38</v>
      </c>
      <c r="W1984" s="22">
        <v>5</v>
      </c>
      <c r="X1984" s="23"/>
    </row>
    <row r="1985" spans="1:24" s="1" customFormat="1" ht="17.100000000000001" customHeight="1" x14ac:dyDescent="0.3">
      <c r="A1985" s="24" t="s">
        <v>23</v>
      </c>
      <c r="B1985" s="24" t="s">
        <v>2208</v>
      </c>
      <c r="C1985" s="12" t="s">
        <v>2319</v>
      </c>
      <c r="D1985" s="54"/>
      <c r="E1985" s="39" t="str">
        <f t="shared" si="49"/>
        <v>Еще фото</v>
      </c>
      <c r="F1985" s="13"/>
      <c r="G1985" s="24" t="s">
        <v>2198</v>
      </c>
      <c r="H1985" s="24" t="s">
        <v>27</v>
      </c>
      <c r="I1985" s="24" t="s">
        <v>2190</v>
      </c>
      <c r="J1985" s="14" t="s">
        <v>29</v>
      </c>
      <c r="K1985" s="15" t="s">
        <v>30</v>
      </c>
      <c r="L1985" s="57"/>
      <c r="M1985" s="14" t="s">
        <v>90</v>
      </c>
      <c r="N1985" s="14" t="s">
        <v>166</v>
      </c>
      <c r="O1985" s="14"/>
      <c r="P1985" s="15" t="s">
        <v>51</v>
      </c>
      <c r="Q1985" s="16">
        <v>8999</v>
      </c>
      <c r="R1985" s="17">
        <v>48.8</v>
      </c>
      <c r="S1985" s="18">
        <v>5298.9355000000005</v>
      </c>
      <c r="T1985" s="19" t="s">
        <v>36</v>
      </c>
      <c r="U1985" s="20" t="s">
        <v>39</v>
      </c>
      <c r="V1985" s="21" t="s">
        <v>40</v>
      </c>
      <c r="W1985" s="22">
        <v>1</v>
      </c>
      <c r="X1985" s="23"/>
    </row>
    <row r="1986" spans="1:24" s="1" customFormat="1" ht="17.100000000000001" customHeight="1" x14ac:dyDescent="0.3">
      <c r="A1986" s="24" t="s">
        <v>23</v>
      </c>
      <c r="B1986" s="24" t="s">
        <v>2208</v>
      </c>
      <c r="C1986" s="12" t="s">
        <v>2319</v>
      </c>
      <c r="D1986" s="54"/>
      <c r="E1986" s="39" t="str">
        <f t="shared" si="49"/>
        <v>Еще фото</v>
      </c>
      <c r="F1986" s="13"/>
      <c r="G1986" s="24" t="s">
        <v>2198</v>
      </c>
      <c r="H1986" s="24" t="s">
        <v>27</v>
      </c>
      <c r="I1986" s="24" t="s">
        <v>2190</v>
      </c>
      <c r="J1986" s="14" t="s">
        <v>29</v>
      </c>
      <c r="K1986" s="15" t="s">
        <v>30</v>
      </c>
      <c r="L1986" s="57"/>
      <c r="M1986" s="14" t="s">
        <v>90</v>
      </c>
      <c r="N1986" s="14" t="s">
        <v>166</v>
      </c>
      <c r="O1986" s="14"/>
      <c r="P1986" s="15" t="s">
        <v>51</v>
      </c>
      <c r="Q1986" s="16">
        <v>8999</v>
      </c>
      <c r="R1986" s="17">
        <v>48.8</v>
      </c>
      <c r="S1986" s="18">
        <v>5298.9355000000005</v>
      </c>
      <c r="T1986" s="19" t="s">
        <v>36</v>
      </c>
      <c r="U1986" s="20" t="s">
        <v>41</v>
      </c>
      <c r="V1986" s="21" t="s">
        <v>42</v>
      </c>
      <c r="W1986" s="22">
        <v>1</v>
      </c>
      <c r="X1986" s="23"/>
    </row>
    <row r="1987" spans="1:24" s="1" customFormat="1" ht="17.100000000000001" customHeight="1" x14ac:dyDescent="0.3">
      <c r="A1987" s="24" t="s">
        <v>23</v>
      </c>
      <c r="B1987" s="24" t="s">
        <v>2208</v>
      </c>
      <c r="C1987" s="12" t="s">
        <v>2319</v>
      </c>
      <c r="D1987" s="54"/>
      <c r="E1987" s="39" t="str">
        <f t="shared" si="49"/>
        <v>Еще фото</v>
      </c>
      <c r="F1987" s="13"/>
      <c r="G1987" s="24" t="s">
        <v>2198</v>
      </c>
      <c r="H1987" s="24" t="s">
        <v>27</v>
      </c>
      <c r="I1987" s="24" t="s">
        <v>2190</v>
      </c>
      <c r="J1987" s="14" t="s">
        <v>29</v>
      </c>
      <c r="K1987" s="15" t="s">
        <v>30</v>
      </c>
      <c r="L1987" s="57"/>
      <c r="M1987" s="14" t="s">
        <v>90</v>
      </c>
      <c r="N1987" s="14" t="s">
        <v>166</v>
      </c>
      <c r="O1987" s="14"/>
      <c r="P1987" s="15" t="s">
        <v>51</v>
      </c>
      <c r="Q1987" s="16">
        <v>8999</v>
      </c>
      <c r="R1987" s="17">
        <v>48.8</v>
      </c>
      <c r="S1987" s="18">
        <v>5298.9355000000005</v>
      </c>
      <c r="T1987" s="19" t="s">
        <v>36</v>
      </c>
      <c r="U1987" s="20" t="s">
        <v>43</v>
      </c>
      <c r="V1987" s="21" t="s">
        <v>44</v>
      </c>
      <c r="W1987" s="22">
        <v>3</v>
      </c>
      <c r="X1987" s="23"/>
    </row>
    <row r="1988" spans="1:24" s="1" customFormat="1" ht="21.95" customHeight="1" x14ac:dyDescent="0.3">
      <c r="A1988" s="24" t="s">
        <v>23</v>
      </c>
      <c r="B1988" s="24" t="s">
        <v>2208</v>
      </c>
      <c r="C1988" s="12" t="s">
        <v>2319</v>
      </c>
      <c r="D1988" s="55"/>
      <c r="E1988" s="39" t="str">
        <f t="shared" si="49"/>
        <v>Еще фото</v>
      </c>
      <c r="F1988" s="13"/>
      <c r="G1988" s="24" t="s">
        <v>2198</v>
      </c>
      <c r="H1988" s="24" t="s">
        <v>27</v>
      </c>
      <c r="I1988" s="24" t="s">
        <v>2190</v>
      </c>
      <c r="J1988" s="14" t="s">
        <v>29</v>
      </c>
      <c r="K1988" s="15" t="s">
        <v>30</v>
      </c>
      <c r="L1988" s="58"/>
      <c r="M1988" s="14" t="s">
        <v>90</v>
      </c>
      <c r="N1988" s="14" t="s">
        <v>166</v>
      </c>
      <c r="O1988" s="14"/>
      <c r="P1988" s="15" t="s">
        <v>51</v>
      </c>
      <c r="Q1988" s="16">
        <v>8999</v>
      </c>
      <c r="R1988" s="17">
        <v>48.8</v>
      </c>
      <c r="S1988" s="18">
        <v>5298.9355000000005</v>
      </c>
      <c r="T1988" s="19" t="s">
        <v>36</v>
      </c>
      <c r="U1988" s="20" t="s">
        <v>104</v>
      </c>
      <c r="V1988" s="21" t="s">
        <v>105</v>
      </c>
      <c r="W1988" s="22">
        <v>1</v>
      </c>
      <c r="X1988" s="23"/>
    </row>
    <row r="1989" spans="1:24" s="1" customFormat="1" ht="108" customHeight="1" x14ac:dyDescent="0.3">
      <c r="A1989" s="11" t="s">
        <v>23</v>
      </c>
      <c r="B1989" s="11" t="s">
        <v>2320</v>
      </c>
      <c r="C1989" s="12" t="s">
        <v>2321</v>
      </c>
      <c r="D1989" s="25"/>
      <c r="E1989" s="39" t="str">
        <f>HYPERLINK("https://www.google.ru/search?q=1382797-024&amp;newwindow=1&amp;tbm=isch","Еще фото")</f>
        <v>Еще фото</v>
      </c>
      <c r="F1989" s="13" t="s">
        <v>98</v>
      </c>
      <c r="G1989" s="11" t="s">
        <v>2189</v>
      </c>
      <c r="H1989" s="11" t="s">
        <v>27</v>
      </c>
      <c r="I1989" s="14" t="s">
        <v>2190</v>
      </c>
      <c r="J1989" s="14" t="s">
        <v>29</v>
      </c>
      <c r="K1989" s="15" t="s">
        <v>30</v>
      </c>
      <c r="L1989" s="14" t="s">
        <v>2322</v>
      </c>
      <c r="M1989" s="14"/>
      <c r="N1989" s="14" t="s">
        <v>84</v>
      </c>
      <c r="O1989" s="14"/>
      <c r="P1989" s="15" t="s">
        <v>51</v>
      </c>
      <c r="Q1989" s="16">
        <v>4699</v>
      </c>
      <c r="R1989" s="17">
        <v>46.8</v>
      </c>
      <c r="S1989" s="18">
        <v>2874.9884999999995</v>
      </c>
      <c r="T1989" s="19" t="s">
        <v>36</v>
      </c>
      <c r="U1989" s="20" t="s">
        <v>43</v>
      </c>
      <c r="V1989" s="21" t="s">
        <v>44</v>
      </c>
      <c r="W1989" s="22">
        <v>1</v>
      </c>
      <c r="X1989" s="23"/>
    </row>
    <row r="1990" spans="1:24" s="1" customFormat="1" ht="108" customHeight="1" x14ac:dyDescent="0.3">
      <c r="A1990" s="11" t="s">
        <v>23</v>
      </c>
      <c r="B1990" s="11" t="s">
        <v>2320</v>
      </c>
      <c r="C1990" s="12" t="s">
        <v>2323</v>
      </c>
      <c r="D1990" s="25"/>
      <c r="E1990" s="39" t="str">
        <f>HYPERLINK("https://www.google.ru/search?q=1382797-690&amp;newwindow=1&amp;tbm=isch","Еще фото")</f>
        <v>Еще фото</v>
      </c>
      <c r="F1990" s="13"/>
      <c r="G1990" s="11" t="s">
        <v>2189</v>
      </c>
      <c r="H1990" s="11" t="s">
        <v>27</v>
      </c>
      <c r="I1990" s="14" t="s">
        <v>2190</v>
      </c>
      <c r="J1990" s="14" t="s">
        <v>29</v>
      </c>
      <c r="K1990" s="15" t="s">
        <v>30</v>
      </c>
      <c r="L1990" s="14" t="s">
        <v>2322</v>
      </c>
      <c r="M1990" s="14"/>
      <c r="N1990" s="14" t="s">
        <v>140</v>
      </c>
      <c r="O1990" s="14"/>
      <c r="P1990" s="15" t="s">
        <v>51</v>
      </c>
      <c r="Q1990" s="16">
        <v>4699</v>
      </c>
      <c r="R1990" s="17">
        <v>46.8</v>
      </c>
      <c r="S1990" s="18">
        <v>2874.9884999999995</v>
      </c>
      <c r="T1990" s="19" t="s">
        <v>36</v>
      </c>
      <c r="U1990" s="20" t="s">
        <v>37</v>
      </c>
      <c r="V1990" s="21" t="s">
        <v>38</v>
      </c>
      <c r="W1990" s="22">
        <v>1</v>
      </c>
      <c r="X1990" s="23"/>
    </row>
    <row r="1991" spans="1:24" s="1" customFormat="1" ht="108" customHeight="1" x14ac:dyDescent="0.3">
      <c r="A1991" s="11" t="s">
        <v>23</v>
      </c>
      <c r="B1991" s="11" t="s">
        <v>2324</v>
      </c>
      <c r="C1991" s="12" t="s">
        <v>2325</v>
      </c>
      <c r="D1991" s="25"/>
      <c r="E1991" s="39" t="str">
        <f>HYPERLINK("https://www.google.ru/search?q=1357096-001&amp;newwindow=1&amp;tbm=isch","Еще фото")</f>
        <v>Еще фото</v>
      </c>
      <c r="F1991" s="13"/>
      <c r="G1991" s="11" t="s">
        <v>2189</v>
      </c>
      <c r="H1991" s="11" t="s">
        <v>27</v>
      </c>
      <c r="I1991" s="14" t="s">
        <v>2190</v>
      </c>
      <c r="J1991" s="14" t="s">
        <v>29</v>
      </c>
      <c r="K1991" s="15" t="s">
        <v>30</v>
      </c>
      <c r="L1991" s="14" t="s">
        <v>2326</v>
      </c>
      <c r="M1991" s="14" t="s">
        <v>56</v>
      </c>
      <c r="N1991" s="14" t="s">
        <v>33</v>
      </c>
      <c r="O1991" s="14"/>
      <c r="P1991" s="15" t="s">
        <v>113</v>
      </c>
      <c r="Q1991" s="16">
        <v>5999</v>
      </c>
      <c r="R1991" s="17">
        <v>46.66</v>
      </c>
      <c r="S1991" s="18">
        <v>3679.9884999999995</v>
      </c>
      <c r="T1991" s="19" t="s">
        <v>36</v>
      </c>
      <c r="U1991" s="20" t="s">
        <v>104</v>
      </c>
      <c r="V1991" s="21" t="s">
        <v>105</v>
      </c>
      <c r="W1991" s="22">
        <v>1</v>
      </c>
      <c r="X1991" s="23"/>
    </row>
    <row r="1992" spans="1:24" s="1" customFormat="1" ht="108" customHeight="1" x14ac:dyDescent="0.3">
      <c r="A1992" s="11" t="s">
        <v>23</v>
      </c>
      <c r="B1992" s="11" t="s">
        <v>2327</v>
      </c>
      <c r="C1992" s="12" t="s">
        <v>2328</v>
      </c>
      <c r="D1992" s="25"/>
      <c r="E1992" s="39" t="str">
        <f>HYPERLINK("https://www.google.ru/search?q=6012335-338&amp;newwindow=1&amp;tbm=isch","Еще фото")</f>
        <v>Еще фото</v>
      </c>
      <c r="F1992" s="13"/>
      <c r="G1992" s="11" t="s">
        <v>2198</v>
      </c>
      <c r="H1992" s="11" t="s">
        <v>27</v>
      </c>
      <c r="I1992" s="14" t="s">
        <v>2190</v>
      </c>
      <c r="J1992" s="14" t="s">
        <v>47</v>
      </c>
      <c r="K1992" s="15" t="s">
        <v>30</v>
      </c>
      <c r="L1992" s="14" t="s">
        <v>2329</v>
      </c>
      <c r="M1992" s="14"/>
      <c r="N1992" s="14" t="s">
        <v>125</v>
      </c>
      <c r="O1992" s="14"/>
      <c r="P1992" s="15" t="s">
        <v>113</v>
      </c>
      <c r="Q1992" s="16">
        <v>5999</v>
      </c>
      <c r="R1992" s="17">
        <v>46.66</v>
      </c>
      <c r="S1992" s="18">
        <v>3679.9884999999995</v>
      </c>
      <c r="T1992" s="19" t="s">
        <v>36</v>
      </c>
      <c r="U1992" s="20" t="s">
        <v>37</v>
      </c>
      <c r="V1992" s="21" t="s">
        <v>38</v>
      </c>
      <c r="W1992" s="22">
        <v>1</v>
      </c>
      <c r="X1992" s="23"/>
    </row>
    <row r="1993" spans="1:24" s="1" customFormat="1" ht="108" customHeight="1" x14ac:dyDescent="0.3">
      <c r="A1993" s="11" t="s">
        <v>23</v>
      </c>
      <c r="B1993" s="11" t="s">
        <v>2330</v>
      </c>
      <c r="C1993" s="12" t="s">
        <v>2331</v>
      </c>
      <c r="D1993" s="25"/>
      <c r="E1993" s="39" t="str">
        <f>HYPERLINK("https://www.google.ru/search?q=1373384-112&amp;newwindow=1&amp;tbm=isch","Еще фото")</f>
        <v>Еще фото</v>
      </c>
      <c r="F1993" s="13"/>
      <c r="G1993" s="11" t="s">
        <v>2189</v>
      </c>
      <c r="H1993" s="11" t="s">
        <v>27</v>
      </c>
      <c r="I1993" s="14" t="s">
        <v>2190</v>
      </c>
      <c r="J1993" s="14" t="s">
        <v>29</v>
      </c>
      <c r="K1993" s="15" t="s">
        <v>30</v>
      </c>
      <c r="L1993" s="14" t="s">
        <v>2332</v>
      </c>
      <c r="M1993" s="14" t="s">
        <v>223</v>
      </c>
      <c r="N1993" s="14" t="s">
        <v>84</v>
      </c>
      <c r="O1993" s="14"/>
      <c r="P1993" s="15" t="s">
        <v>113</v>
      </c>
      <c r="Q1993" s="16">
        <v>5599</v>
      </c>
      <c r="R1993" s="17">
        <v>46.42</v>
      </c>
      <c r="S1993" s="18">
        <v>3449.9884999999995</v>
      </c>
      <c r="T1993" s="19" t="s">
        <v>36</v>
      </c>
      <c r="U1993" s="20" t="s">
        <v>69</v>
      </c>
      <c r="V1993" s="21" t="s">
        <v>75</v>
      </c>
      <c r="W1993" s="22">
        <v>2</v>
      </c>
      <c r="X1993" s="23"/>
    </row>
    <row r="1994" spans="1:24" s="1" customFormat="1" ht="108" customHeight="1" x14ac:dyDescent="0.3">
      <c r="A1994" s="11" t="s">
        <v>23</v>
      </c>
      <c r="B1994" s="11" t="s">
        <v>2333</v>
      </c>
      <c r="C1994" s="12" t="s">
        <v>2334</v>
      </c>
      <c r="D1994" s="25"/>
      <c r="E1994" s="39" t="str">
        <f>HYPERLINK("https://www.google.ru/search?q=1373358-001&amp;newwindow=1&amp;tbm=isch","Еще фото")</f>
        <v>Еще фото</v>
      </c>
      <c r="F1994" s="13" t="s">
        <v>98</v>
      </c>
      <c r="G1994" s="11" t="s">
        <v>2189</v>
      </c>
      <c r="H1994" s="11" t="s">
        <v>27</v>
      </c>
      <c r="I1994" s="14" t="s">
        <v>2190</v>
      </c>
      <c r="J1994" s="14" t="s">
        <v>29</v>
      </c>
      <c r="K1994" s="15" t="s">
        <v>30</v>
      </c>
      <c r="L1994" s="14" t="s">
        <v>2335</v>
      </c>
      <c r="M1994" s="14" t="s">
        <v>90</v>
      </c>
      <c r="N1994" s="14" t="s">
        <v>33</v>
      </c>
      <c r="O1994" s="14"/>
      <c r="P1994" s="15" t="s">
        <v>51</v>
      </c>
      <c r="Q1994" s="16">
        <v>5399</v>
      </c>
      <c r="R1994" s="17">
        <v>46.29</v>
      </c>
      <c r="S1994" s="18">
        <v>3334.9884999999995</v>
      </c>
      <c r="T1994" s="19" t="s">
        <v>36</v>
      </c>
      <c r="U1994" s="20" t="s">
        <v>37</v>
      </c>
      <c r="V1994" s="21" t="s">
        <v>38</v>
      </c>
      <c r="W1994" s="22">
        <v>2</v>
      </c>
      <c r="X1994" s="23"/>
    </row>
    <row r="1995" spans="1:24" s="1" customFormat="1" ht="108" customHeight="1" x14ac:dyDescent="0.3">
      <c r="A1995" s="11" t="s">
        <v>23</v>
      </c>
      <c r="B1995" s="11" t="s">
        <v>2260</v>
      </c>
      <c r="C1995" s="12" t="s">
        <v>2336</v>
      </c>
      <c r="D1995" s="25"/>
      <c r="E1995" s="39" t="str">
        <f>HYPERLINK("https://www.google.ru/search?q=1379758-477&amp;newwindow=1&amp;tbm=isch","Еще фото")</f>
        <v>Еще фото</v>
      </c>
      <c r="F1995" s="13"/>
      <c r="G1995" s="11" t="s">
        <v>2198</v>
      </c>
      <c r="H1995" s="11" t="s">
        <v>27</v>
      </c>
      <c r="I1995" s="14" t="s">
        <v>2190</v>
      </c>
      <c r="J1995" s="14" t="s">
        <v>47</v>
      </c>
      <c r="K1995" s="15" t="s">
        <v>30</v>
      </c>
      <c r="L1995" s="14" t="s">
        <v>2262</v>
      </c>
      <c r="M1995" s="14"/>
      <c r="N1995" s="14" t="s">
        <v>50</v>
      </c>
      <c r="O1995" s="14"/>
      <c r="P1995" s="15" t="s">
        <v>113</v>
      </c>
      <c r="Q1995" s="16">
        <v>5399</v>
      </c>
      <c r="R1995" s="17">
        <v>46.29</v>
      </c>
      <c r="S1995" s="18">
        <v>3334.9884999999995</v>
      </c>
      <c r="T1995" s="19" t="s">
        <v>36</v>
      </c>
      <c r="U1995" s="20" t="s">
        <v>43</v>
      </c>
      <c r="V1995" s="21" t="s">
        <v>44</v>
      </c>
      <c r="W1995" s="22">
        <v>5</v>
      </c>
      <c r="X1995" s="23"/>
    </row>
    <row r="1996" spans="1:24" s="1" customFormat="1" ht="35.1" customHeight="1" x14ac:dyDescent="0.3">
      <c r="A1996" s="11" t="s">
        <v>23</v>
      </c>
      <c r="B1996" s="11" t="s">
        <v>2337</v>
      </c>
      <c r="C1996" s="12" t="s">
        <v>2338</v>
      </c>
      <c r="D1996" s="53"/>
      <c r="E1996" s="39" t="str">
        <f>HYPERLINK("https://www.google.ru/search?q=6004979-001&amp;newwindow=1&amp;tbm=isch","Еще фото")</f>
        <v>Еще фото</v>
      </c>
      <c r="F1996" s="13"/>
      <c r="G1996" s="11" t="s">
        <v>2189</v>
      </c>
      <c r="H1996" s="11" t="s">
        <v>27</v>
      </c>
      <c r="I1996" s="14" t="s">
        <v>2190</v>
      </c>
      <c r="J1996" s="14" t="s">
        <v>29</v>
      </c>
      <c r="K1996" s="15" t="s">
        <v>54</v>
      </c>
      <c r="L1996" s="56" t="s">
        <v>2339</v>
      </c>
      <c r="M1996" s="14"/>
      <c r="N1996" s="14" t="s">
        <v>33</v>
      </c>
      <c r="O1996" s="14"/>
      <c r="P1996" s="15" t="s">
        <v>51</v>
      </c>
      <c r="Q1996" s="16">
        <v>4099</v>
      </c>
      <c r="R1996" s="17">
        <v>46</v>
      </c>
      <c r="S1996" s="18">
        <v>2545.4789999999998</v>
      </c>
      <c r="T1996" s="19" t="s">
        <v>36</v>
      </c>
      <c r="U1996" s="20" t="s">
        <v>114</v>
      </c>
      <c r="V1996" s="21" t="s">
        <v>115</v>
      </c>
      <c r="W1996" s="22">
        <v>4</v>
      </c>
      <c r="X1996" s="23"/>
    </row>
    <row r="1997" spans="1:24" s="1" customFormat="1" ht="35.1" customHeight="1" x14ac:dyDescent="0.3">
      <c r="A1997" s="24" t="s">
        <v>23</v>
      </c>
      <c r="B1997" s="24" t="s">
        <v>2337</v>
      </c>
      <c r="C1997" s="12" t="s">
        <v>2338</v>
      </c>
      <c r="D1997" s="54"/>
      <c r="E1997" s="39" t="str">
        <f>HYPERLINK("https://www.google.ru/search?q=6004979-001&amp;newwindow=1&amp;tbm=isch","Еще фото")</f>
        <v>Еще фото</v>
      </c>
      <c r="F1997" s="13"/>
      <c r="G1997" s="24" t="s">
        <v>2189</v>
      </c>
      <c r="H1997" s="24" t="s">
        <v>27</v>
      </c>
      <c r="I1997" s="24" t="s">
        <v>2190</v>
      </c>
      <c r="J1997" s="14" t="s">
        <v>29</v>
      </c>
      <c r="K1997" s="15" t="s">
        <v>54</v>
      </c>
      <c r="L1997" s="57"/>
      <c r="M1997" s="14"/>
      <c r="N1997" s="14" t="s">
        <v>33</v>
      </c>
      <c r="O1997" s="14"/>
      <c r="P1997" s="15" t="s">
        <v>51</v>
      </c>
      <c r="Q1997" s="16">
        <v>4099</v>
      </c>
      <c r="R1997" s="17">
        <v>46</v>
      </c>
      <c r="S1997" s="18">
        <v>2545.4789999999998</v>
      </c>
      <c r="T1997" s="19" t="s">
        <v>36</v>
      </c>
      <c r="U1997" s="20" t="s">
        <v>126</v>
      </c>
      <c r="V1997" s="21" t="s">
        <v>127</v>
      </c>
      <c r="W1997" s="22">
        <v>2</v>
      </c>
      <c r="X1997" s="23"/>
    </row>
    <row r="1998" spans="1:24" s="1" customFormat="1" ht="36.950000000000003" customHeight="1" x14ac:dyDescent="0.3">
      <c r="A1998" s="24" t="s">
        <v>23</v>
      </c>
      <c r="B1998" s="24" t="s">
        <v>2337</v>
      </c>
      <c r="C1998" s="12" t="s">
        <v>2338</v>
      </c>
      <c r="D1998" s="55"/>
      <c r="E1998" s="39" t="str">
        <f>HYPERLINK("https://www.google.ru/search?q=6004979-001&amp;newwindow=1&amp;tbm=isch","Еще фото")</f>
        <v>Еще фото</v>
      </c>
      <c r="F1998" s="13"/>
      <c r="G1998" s="24" t="s">
        <v>2189</v>
      </c>
      <c r="H1998" s="24" t="s">
        <v>27</v>
      </c>
      <c r="I1998" s="24" t="s">
        <v>2190</v>
      </c>
      <c r="J1998" s="14" t="s">
        <v>29</v>
      </c>
      <c r="K1998" s="15" t="s">
        <v>54</v>
      </c>
      <c r="L1998" s="58"/>
      <c r="M1998" s="14"/>
      <c r="N1998" s="14" t="s">
        <v>33</v>
      </c>
      <c r="O1998" s="14"/>
      <c r="P1998" s="15" t="s">
        <v>51</v>
      </c>
      <c r="Q1998" s="16">
        <v>4099</v>
      </c>
      <c r="R1998" s="17">
        <v>46</v>
      </c>
      <c r="S1998" s="18">
        <v>2545.4789999999998</v>
      </c>
      <c r="T1998" s="19" t="s">
        <v>36</v>
      </c>
      <c r="U1998" s="20" t="s">
        <v>59</v>
      </c>
      <c r="V1998" s="21" t="s">
        <v>60</v>
      </c>
      <c r="W1998" s="22">
        <v>8</v>
      </c>
      <c r="X1998" s="23"/>
    </row>
    <row r="1999" spans="1:24" s="1" customFormat="1" ht="108" customHeight="1" x14ac:dyDescent="0.3">
      <c r="A1999" s="11" t="s">
        <v>23</v>
      </c>
      <c r="B1999" s="11" t="s">
        <v>2340</v>
      </c>
      <c r="C1999" s="12" t="s">
        <v>2341</v>
      </c>
      <c r="D1999" s="25"/>
      <c r="E1999" s="39" t="str">
        <f>HYPERLINK("https://www.google.ru/search?q=1361619-001&amp;newwindow=1&amp;tbm=isch","Еще фото")</f>
        <v>Еще фото</v>
      </c>
      <c r="F1999" s="13"/>
      <c r="G1999" s="11" t="s">
        <v>2342</v>
      </c>
      <c r="H1999" s="11" t="s">
        <v>27</v>
      </c>
      <c r="I1999" s="14" t="s">
        <v>2190</v>
      </c>
      <c r="J1999" s="14" t="s">
        <v>29</v>
      </c>
      <c r="K1999" s="15" t="s">
        <v>30</v>
      </c>
      <c r="L1999" s="14" t="s">
        <v>2343</v>
      </c>
      <c r="M1999" s="14" t="s">
        <v>2344</v>
      </c>
      <c r="N1999" s="14" t="s">
        <v>33</v>
      </c>
      <c r="O1999" s="14"/>
      <c r="P1999" s="15" t="s">
        <v>51</v>
      </c>
      <c r="Q1999" s="16">
        <v>9999</v>
      </c>
      <c r="R1999" s="17">
        <v>45.99</v>
      </c>
      <c r="S1999" s="18">
        <v>6209.9884999999995</v>
      </c>
      <c r="T1999" s="19" t="s">
        <v>36</v>
      </c>
      <c r="U1999" s="20" t="s">
        <v>37</v>
      </c>
      <c r="V1999" s="21" t="s">
        <v>38</v>
      </c>
      <c r="W1999" s="22">
        <v>3</v>
      </c>
      <c r="X1999" s="23"/>
    </row>
    <row r="2000" spans="1:24" s="1" customFormat="1" ht="108" customHeight="1" x14ac:dyDescent="0.3">
      <c r="A2000" s="11" t="s">
        <v>23</v>
      </c>
      <c r="B2000" s="11" t="s">
        <v>2292</v>
      </c>
      <c r="C2000" s="12" t="s">
        <v>2345</v>
      </c>
      <c r="D2000" s="25"/>
      <c r="E2000" s="39" t="str">
        <f>HYPERLINK("https://www.google.ru/search?q=1373674-410&amp;newwindow=1&amp;tbm=isch","Еще фото")</f>
        <v>Еще фото</v>
      </c>
      <c r="F2000" s="13"/>
      <c r="G2000" s="11" t="s">
        <v>2189</v>
      </c>
      <c r="H2000" s="11" t="s">
        <v>27</v>
      </c>
      <c r="I2000" s="14" t="s">
        <v>2190</v>
      </c>
      <c r="J2000" s="14" t="s">
        <v>212</v>
      </c>
      <c r="K2000" s="15" t="s">
        <v>30</v>
      </c>
      <c r="L2000" s="14" t="s">
        <v>2294</v>
      </c>
      <c r="M2000" s="14" t="s">
        <v>32</v>
      </c>
      <c r="N2000" s="14" t="s">
        <v>91</v>
      </c>
      <c r="O2000" s="14"/>
      <c r="P2000" s="15" t="s">
        <v>51</v>
      </c>
      <c r="Q2000" s="16">
        <v>9999</v>
      </c>
      <c r="R2000" s="17">
        <v>45.99</v>
      </c>
      <c r="S2000" s="18">
        <v>6209.9884999999995</v>
      </c>
      <c r="T2000" s="19" t="s">
        <v>36</v>
      </c>
      <c r="U2000" s="20" t="s">
        <v>37</v>
      </c>
      <c r="V2000" s="21" t="s">
        <v>38</v>
      </c>
      <c r="W2000" s="22">
        <v>1</v>
      </c>
      <c r="X2000" s="23"/>
    </row>
    <row r="2001" spans="1:24" s="1" customFormat="1" ht="51.95" customHeight="1" x14ac:dyDescent="0.3">
      <c r="A2001" s="11" t="s">
        <v>23</v>
      </c>
      <c r="B2001" s="11" t="s">
        <v>2346</v>
      </c>
      <c r="C2001" s="12" t="s">
        <v>2347</v>
      </c>
      <c r="D2001" s="59"/>
      <c r="E2001" s="39" t="str">
        <f>HYPERLINK("https://www.google.ru/search?q=1381035-012&amp;newwindow=1&amp;tbm=isch","Еще фото")</f>
        <v>Еще фото</v>
      </c>
      <c r="F2001" s="13"/>
      <c r="G2001" s="11" t="s">
        <v>2342</v>
      </c>
      <c r="H2001" s="11" t="s">
        <v>27</v>
      </c>
      <c r="I2001" s="14" t="s">
        <v>2190</v>
      </c>
      <c r="J2001" s="14" t="s">
        <v>29</v>
      </c>
      <c r="K2001" s="15" t="s">
        <v>30</v>
      </c>
      <c r="L2001" s="56" t="s">
        <v>2348</v>
      </c>
      <c r="M2001" s="14"/>
      <c r="N2001" s="14" t="s">
        <v>283</v>
      </c>
      <c r="O2001" s="14"/>
      <c r="P2001" s="15" t="s">
        <v>113</v>
      </c>
      <c r="Q2001" s="16">
        <v>9999</v>
      </c>
      <c r="R2001" s="17">
        <v>45.99</v>
      </c>
      <c r="S2001" s="18">
        <v>6209.9884999999995</v>
      </c>
      <c r="T2001" s="19" t="s">
        <v>36</v>
      </c>
      <c r="U2001" s="20" t="s">
        <v>69</v>
      </c>
      <c r="V2001" s="21" t="s">
        <v>75</v>
      </c>
      <c r="W2001" s="22">
        <v>3</v>
      </c>
      <c r="X2001" s="23"/>
    </row>
    <row r="2002" spans="1:24" s="1" customFormat="1" ht="60.95" customHeight="1" x14ac:dyDescent="0.3">
      <c r="A2002" s="24" t="s">
        <v>23</v>
      </c>
      <c r="B2002" s="24" t="s">
        <v>2346</v>
      </c>
      <c r="C2002" s="12" t="s">
        <v>2347</v>
      </c>
      <c r="D2002" s="60"/>
      <c r="E2002" s="39" t="str">
        <f>HYPERLINK("https://www.google.ru/search?q=1381035-012&amp;newwindow=1&amp;tbm=isch","Еще фото")</f>
        <v>Еще фото</v>
      </c>
      <c r="F2002" s="13"/>
      <c r="G2002" s="24" t="s">
        <v>2342</v>
      </c>
      <c r="H2002" s="24" t="s">
        <v>27</v>
      </c>
      <c r="I2002" s="24" t="s">
        <v>2190</v>
      </c>
      <c r="J2002" s="14" t="s">
        <v>29</v>
      </c>
      <c r="K2002" s="15" t="s">
        <v>30</v>
      </c>
      <c r="L2002" s="58"/>
      <c r="M2002" s="14"/>
      <c r="N2002" s="14" t="s">
        <v>283</v>
      </c>
      <c r="O2002" s="14"/>
      <c r="P2002" s="15" t="s">
        <v>113</v>
      </c>
      <c r="Q2002" s="16">
        <v>9999</v>
      </c>
      <c r="R2002" s="17">
        <v>45.99</v>
      </c>
      <c r="S2002" s="18">
        <v>6209.9884999999995</v>
      </c>
      <c r="T2002" s="19" t="s">
        <v>36</v>
      </c>
      <c r="U2002" s="20" t="s">
        <v>37</v>
      </c>
      <c r="V2002" s="21" t="s">
        <v>38</v>
      </c>
      <c r="W2002" s="22">
        <v>1</v>
      </c>
      <c r="X2002" s="23"/>
    </row>
    <row r="2003" spans="1:24" s="1" customFormat="1" ht="108" customHeight="1" x14ac:dyDescent="0.3">
      <c r="A2003" s="11" t="s">
        <v>23</v>
      </c>
      <c r="B2003" s="11" t="s">
        <v>2349</v>
      </c>
      <c r="C2003" s="12" t="s">
        <v>2350</v>
      </c>
      <c r="D2003" s="25"/>
      <c r="E2003" s="39" t="str">
        <f>HYPERLINK("https://www.google.ru/search?q=6009542-001&amp;newwindow=1&amp;tbm=isch","Еще фото")</f>
        <v>Еще фото</v>
      </c>
      <c r="F2003" s="13"/>
      <c r="G2003" s="11" t="s">
        <v>2202</v>
      </c>
      <c r="H2003" s="11" t="s">
        <v>27</v>
      </c>
      <c r="I2003" s="14" t="s">
        <v>2190</v>
      </c>
      <c r="J2003" s="14" t="s">
        <v>29</v>
      </c>
      <c r="K2003" s="15" t="s">
        <v>64</v>
      </c>
      <c r="L2003" s="14" t="s">
        <v>2351</v>
      </c>
      <c r="M2003" s="14"/>
      <c r="N2003" s="14" t="s">
        <v>33</v>
      </c>
      <c r="O2003" s="14"/>
      <c r="P2003" s="15" t="s">
        <v>2352</v>
      </c>
      <c r="Q2003" s="16">
        <v>9999</v>
      </c>
      <c r="R2003" s="17">
        <v>45.99</v>
      </c>
      <c r="S2003" s="18">
        <v>6209.9884999999995</v>
      </c>
      <c r="T2003" s="19" t="s">
        <v>36</v>
      </c>
      <c r="U2003" s="20" t="s">
        <v>69</v>
      </c>
      <c r="V2003" s="21" t="s">
        <v>70</v>
      </c>
      <c r="W2003" s="22">
        <v>1</v>
      </c>
      <c r="X2003" s="23"/>
    </row>
    <row r="2004" spans="1:24" s="1" customFormat="1" ht="108" customHeight="1" x14ac:dyDescent="0.3">
      <c r="A2004" s="11" t="s">
        <v>23</v>
      </c>
      <c r="B2004" s="11" t="s">
        <v>2286</v>
      </c>
      <c r="C2004" s="12" t="s">
        <v>2353</v>
      </c>
      <c r="D2004" s="25"/>
      <c r="E2004" s="39" t="str">
        <f>HYPERLINK("https://www.google.ru/search?q=1356318-626&amp;newwindow=1&amp;tbm=isch","Еще фото")</f>
        <v>Еще фото</v>
      </c>
      <c r="F2004" s="13"/>
      <c r="G2004" s="11" t="s">
        <v>2198</v>
      </c>
      <c r="H2004" s="11" t="s">
        <v>27</v>
      </c>
      <c r="I2004" s="14" t="s">
        <v>2190</v>
      </c>
      <c r="J2004" s="14" t="s">
        <v>29</v>
      </c>
      <c r="K2004" s="15" t="s">
        <v>64</v>
      </c>
      <c r="L2004" s="14" t="s">
        <v>2354</v>
      </c>
      <c r="M2004" s="14" t="s">
        <v>56</v>
      </c>
      <c r="N2004" s="14" t="s">
        <v>670</v>
      </c>
      <c r="O2004" s="14" t="s">
        <v>34</v>
      </c>
      <c r="P2004" s="15" t="s">
        <v>113</v>
      </c>
      <c r="Q2004" s="16">
        <v>7399</v>
      </c>
      <c r="R2004" s="17">
        <v>45.94</v>
      </c>
      <c r="S2004" s="18">
        <v>4599.9884999999995</v>
      </c>
      <c r="T2004" s="19" t="s">
        <v>36</v>
      </c>
      <c r="U2004" s="20" t="s">
        <v>69</v>
      </c>
      <c r="V2004" s="21" t="s">
        <v>70</v>
      </c>
      <c r="W2004" s="22">
        <v>2</v>
      </c>
      <c r="X2004" s="23"/>
    </row>
    <row r="2005" spans="1:24" s="1" customFormat="1" ht="108" customHeight="1" x14ac:dyDescent="0.3">
      <c r="A2005" s="11" t="s">
        <v>23</v>
      </c>
      <c r="B2005" s="11" t="s">
        <v>2355</v>
      </c>
      <c r="C2005" s="12" t="s">
        <v>2356</v>
      </c>
      <c r="D2005" s="25"/>
      <c r="E2005" s="39" t="str">
        <f>HYPERLINK("https://www.google.ru/search?q=1357111-012&amp;newwindow=1&amp;tbm=isch","Еще фото")</f>
        <v>Еще фото</v>
      </c>
      <c r="F2005" s="13"/>
      <c r="G2005" s="11" t="s">
        <v>2198</v>
      </c>
      <c r="H2005" s="11" t="s">
        <v>27</v>
      </c>
      <c r="I2005" s="14" t="s">
        <v>2190</v>
      </c>
      <c r="J2005" s="14" t="s">
        <v>29</v>
      </c>
      <c r="K2005" s="15" t="s">
        <v>30</v>
      </c>
      <c r="L2005" s="14" t="s">
        <v>2357</v>
      </c>
      <c r="M2005" s="14" t="s">
        <v>56</v>
      </c>
      <c r="N2005" s="14" t="s">
        <v>84</v>
      </c>
      <c r="O2005" s="14" t="s">
        <v>34</v>
      </c>
      <c r="P2005" s="15" t="s">
        <v>113</v>
      </c>
      <c r="Q2005" s="16">
        <v>7399</v>
      </c>
      <c r="R2005" s="17">
        <v>45.94</v>
      </c>
      <c r="S2005" s="18">
        <v>4599.9884999999995</v>
      </c>
      <c r="T2005" s="19" t="s">
        <v>36</v>
      </c>
      <c r="U2005" s="20" t="s">
        <v>2358</v>
      </c>
      <c r="V2005" s="21" t="s">
        <v>2359</v>
      </c>
      <c r="W2005" s="22">
        <v>1</v>
      </c>
      <c r="X2005" s="23"/>
    </row>
    <row r="2006" spans="1:24" s="1" customFormat="1" ht="108" customHeight="1" x14ac:dyDescent="0.3">
      <c r="A2006" s="11" t="s">
        <v>23</v>
      </c>
      <c r="B2006" s="11" t="s">
        <v>2360</v>
      </c>
      <c r="C2006" s="12" t="s">
        <v>2361</v>
      </c>
      <c r="D2006" s="25"/>
      <c r="E2006" s="39" t="str">
        <f>HYPERLINK("https://www.google.ru/search?q=1370422-279&amp;newwindow=1&amp;tbm=isch","Еще фото")</f>
        <v>Еще фото</v>
      </c>
      <c r="F2006" s="13"/>
      <c r="G2006" s="11" t="s">
        <v>2198</v>
      </c>
      <c r="H2006" s="11" t="s">
        <v>27</v>
      </c>
      <c r="I2006" s="14" t="s">
        <v>2190</v>
      </c>
      <c r="J2006" s="14" t="s">
        <v>29</v>
      </c>
      <c r="K2006" s="15" t="s">
        <v>30</v>
      </c>
      <c r="L2006" s="14" t="s">
        <v>2362</v>
      </c>
      <c r="M2006" s="14" t="s">
        <v>256</v>
      </c>
      <c r="N2006" s="14" t="s">
        <v>84</v>
      </c>
      <c r="O2006" s="14"/>
      <c r="P2006" s="15" t="s">
        <v>152</v>
      </c>
      <c r="Q2006" s="16">
        <v>10899</v>
      </c>
      <c r="R2006" s="17">
        <v>45.87</v>
      </c>
      <c r="S2006" s="18">
        <v>6784.9884999999995</v>
      </c>
      <c r="T2006" s="19" t="s">
        <v>36</v>
      </c>
      <c r="U2006" s="20" t="s">
        <v>37</v>
      </c>
      <c r="V2006" s="21" t="s">
        <v>38</v>
      </c>
      <c r="W2006" s="22">
        <v>3</v>
      </c>
      <c r="X2006" s="23"/>
    </row>
    <row r="2007" spans="1:24" s="1" customFormat="1" ht="108" customHeight="1" x14ac:dyDescent="0.3">
      <c r="A2007" s="11" t="s">
        <v>23</v>
      </c>
      <c r="B2007" s="11" t="s">
        <v>2363</v>
      </c>
      <c r="C2007" s="12" t="s">
        <v>2364</v>
      </c>
      <c r="D2007" s="25"/>
      <c r="E2007" s="39" t="str">
        <f>HYPERLINK("https://www.google.ru/search?q=1320977-001&amp;newwindow=1&amp;tbm=isch","Еще фото")</f>
        <v>Еще фото</v>
      </c>
      <c r="F2007" s="13" t="s">
        <v>98</v>
      </c>
      <c r="G2007" s="11" t="s">
        <v>643</v>
      </c>
      <c r="H2007" s="11" t="s">
        <v>27</v>
      </c>
      <c r="I2007" s="14" t="s">
        <v>2190</v>
      </c>
      <c r="J2007" s="14" t="s">
        <v>29</v>
      </c>
      <c r="K2007" s="15" t="s">
        <v>30</v>
      </c>
      <c r="L2007" s="14" t="s">
        <v>2365</v>
      </c>
      <c r="M2007" s="14" t="s">
        <v>256</v>
      </c>
      <c r="N2007" s="14" t="s">
        <v>33</v>
      </c>
      <c r="O2007" s="14" t="s">
        <v>34</v>
      </c>
      <c r="P2007" s="15" t="s">
        <v>2366</v>
      </c>
      <c r="Q2007" s="16">
        <v>10699</v>
      </c>
      <c r="R2007" s="17">
        <v>45.79</v>
      </c>
      <c r="S2007" s="18">
        <v>6669.9884999999995</v>
      </c>
      <c r="T2007" s="19" t="s">
        <v>36</v>
      </c>
      <c r="U2007" s="20" t="s">
        <v>37</v>
      </c>
      <c r="V2007" s="21" t="s">
        <v>38</v>
      </c>
      <c r="W2007" s="22">
        <v>9</v>
      </c>
      <c r="X2007" s="23"/>
    </row>
    <row r="2008" spans="1:24" s="1" customFormat="1" ht="108" customHeight="1" x14ac:dyDescent="0.3">
      <c r="A2008" s="11" t="s">
        <v>23</v>
      </c>
      <c r="B2008" s="11" t="s">
        <v>2367</v>
      </c>
      <c r="C2008" s="12" t="s">
        <v>2368</v>
      </c>
      <c r="D2008" s="25"/>
      <c r="E2008" s="39" t="str">
        <f>HYPERLINK("https://www.google.ru/search?q=1379745-014&amp;newwindow=1&amp;tbm=isch","Еще фото")</f>
        <v>Еще фото</v>
      </c>
      <c r="F2008" s="13"/>
      <c r="G2008" s="11" t="s">
        <v>2198</v>
      </c>
      <c r="H2008" s="11" t="s">
        <v>27</v>
      </c>
      <c r="I2008" s="14" t="s">
        <v>2190</v>
      </c>
      <c r="J2008" s="14" t="s">
        <v>29</v>
      </c>
      <c r="K2008" s="15" t="s">
        <v>30</v>
      </c>
      <c r="L2008" s="14" t="s">
        <v>2369</v>
      </c>
      <c r="M2008" s="14" t="s">
        <v>90</v>
      </c>
      <c r="N2008" s="14" t="s">
        <v>726</v>
      </c>
      <c r="O2008" s="14"/>
      <c r="P2008" s="15" t="s">
        <v>51</v>
      </c>
      <c r="Q2008" s="16">
        <v>8299</v>
      </c>
      <c r="R2008" s="17">
        <v>45.78</v>
      </c>
      <c r="S2008" s="18">
        <v>5174.9884999999995</v>
      </c>
      <c r="T2008" s="19" t="s">
        <v>36</v>
      </c>
      <c r="U2008" s="20" t="s">
        <v>69</v>
      </c>
      <c r="V2008" s="21" t="s">
        <v>75</v>
      </c>
      <c r="W2008" s="22">
        <v>1</v>
      </c>
      <c r="X2008" s="23"/>
    </row>
    <row r="2009" spans="1:24" s="1" customFormat="1" ht="108" customHeight="1" x14ac:dyDescent="0.3">
      <c r="A2009" s="11" t="s">
        <v>23</v>
      </c>
      <c r="B2009" s="11" t="s">
        <v>2370</v>
      </c>
      <c r="C2009" s="12" t="s">
        <v>2371</v>
      </c>
      <c r="D2009" s="25"/>
      <c r="E2009" s="39" t="str">
        <f>HYPERLINK("https://www.google.ru/search?q=1369853-872&amp;newwindow=1&amp;tbm=isch","Еще фото")</f>
        <v>Еще фото</v>
      </c>
      <c r="F2009" s="13"/>
      <c r="G2009" s="11" t="s">
        <v>2198</v>
      </c>
      <c r="H2009" s="11" t="s">
        <v>27</v>
      </c>
      <c r="I2009" s="14" t="s">
        <v>2190</v>
      </c>
      <c r="J2009" s="14" t="s">
        <v>29</v>
      </c>
      <c r="K2009" s="15" t="s">
        <v>64</v>
      </c>
      <c r="L2009" s="14" t="s">
        <v>2372</v>
      </c>
      <c r="M2009" s="14" t="s">
        <v>223</v>
      </c>
      <c r="N2009" s="14" t="s">
        <v>434</v>
      </c>
      <c r="O2009" s="14"/>
      <c r="P2009" s="15" t="s">
        <v>2373</v>
      </c>
      <c r="Q2009" s="16">
        <v>5899</v>
      </c>
      <c r="R2009" s="17">
        <v>45.75</v>
      </c>
      <c r="S2009" s="18">
        <v>3679.9884999999995</v>
      </c>
      <c r="T2009" s="19" t="s">
        <v>36</v>
      </c>
      <c r="U2009" s="20" t="s">
        <v>41</v>
      </c>
      <c r="V2009" s="21" t="s">
        <v>40</v>
      </c>
      <c r="W2009" s="22">
        <v>1</v>
      </c>
      <c r="X2009" s="23"/>
    </row>
    <row r="2010" spans="1:24" s="1" customFormat="1" ht="108" customHeight="1" x14ac:dyDescent="0.3">
      <c r="A2010" s="11" t="s">
        <v>23</v>
      </c>
      <c r="B2010" s="11" t="s">
        <v>2374</v>
      </c>
      <c r="C2010" s="12" t="s">
        <v>2375</v>
      </c>
      <c r="D2010" s="25"/>
      <c r="E2010" s="39" t="str">
        <f>HYPERLINK("https://www.google.ru/search?q=1370355-279&amp;newwindow=1&amp;tbm=isch","Еще фото")</f>
        <v>Еще фото</v>
      </c>
      <c r="F2010" s="13"/>
      <c r="G2010" s="11" t="s">
        <v>2198</v>
      </c>
      <c r="H2010" s="11" t="s">
        <v>27</v>
      </c>
      <c r="I2010" s="14" t="s">
        <v>2190</v>
      </c>
      <c r="J2010" s="14" t="s">
        <v>29</v>
      </c>
      <c r="K2010" s="15" t="s">
        <v>30</v>
      </c>
      <c r="L2010" s="14" t="s">
        <v>2376</v>
      </c>
      <c r="M2010" s="14" t="s">
        <v>56</v>
      </c>
      <c r="N2010" s="14" t="s">
        <v>215</v>
      </c>
      <c r="O2010" s="14" t="s">
        <v>34</v>
      </c>
      <c r="P2010" s="15" t="s">
        <v>274</v>
      </c>
      <c r="Q2010" s="16">
        <v>8099</v>
      </c>
      <c r="R2010" s="17">
        <v>45.67</v>
      </c>
      <c r="S2010" s="18">
        <v>5059.9884999999995</v>
      </c>
      <c r="T2010" s="19" t="s">
        <v>36</v>
      </c>
      <c r="U2010" s="20" t="s">
        <v>37</v>
      </c>
      <c r="V2010" s="21" t="s">
        <v>38</v>
      </c>
      <c r="W2010" s="22">
        <v>1</v>
      </c>
      <c r="X2010" s="23"/>
    </row>
    <row r="2011" spans="1:24" s="1" customFormat="1" ht="108" customHeight="1" x14ac:dyDescent="0.3">
      <c r="A2011" s="11" t="s">
        <v>23</v>
      </c>
      <c r="B2011" s="11" t="s">
        <v>2234</v>
      </c>
      <c r="C2011" s="12" t="s">
        <v>2377</v>
      </c>
      <c r="D2011" s="25"/>
      <c r="E2011" s="39" t="str">
        <f>HYPERLINK("https://www.google.ru/search?q=1373880-651&amp;newwindow=1&amp;tbm=isch","Еще фото")</f>
        <v>Еще фото</v>
      </c>
      <c r="F2011" s="13"/>
      <c r="G2011" s="11" t="s">
        <v>2198</v>
      </c>
      <c r="H2011" s="11" t="s">
        <v>27</v>
      </c>
      <c r="I2011" s="14" t="s">
        <v>2190</v>
      </c>
      <c r="J2011" s="14" t="s">
        <v>47</v>
      </c>
      <c r="K2011" s="15" t="s">
        <v>30</v>
      </c>
      <c r="L2011" s="14" t="s">
        <v>2236</v>
      </c>
      <c r="M2011" s="14"/>
      <c r="N2011" s="14" t="s">
        <v>670</v>
      </c>
      <c r="O2011" s="14"/>
      <c r="P2011" s="15" t="s">
        <v>113</v>
      </c>
      <c r="Q2011" s="16">
        <v>8099</v>
      </c>
      <c r="R2011" s="17">
        <v>45.67</v>
      </c>
      <c r="S2011" s="18">
        <v>5059.9884999999995</v>
      </c>
      <c r="T2011" s="19" t="s">
        <v>36</v>
      </c>
      <c r="U2011" s="20" t="s">
        <v>43</v>
      </c>
      <c r="V2011" s="21" t="s">
        <v>44</v>
      </c>
      <c r="W2011" s="22">
        <v>5</v>
      </c>
      <c r="X2011" s="23"/>
    </row>
    <row r="2012" spans="1:24" s="1" customFormat="1" ht="108" customHeight="1" x14ac:dyDescent="0.3">
      <c r="A2012" s="11" t="s">
        <v>23</v>
      </c>
      <c r="B2012" s="11" t="s">
        <v>2378</v>
      </c>
      <c r="C2012" s="12" t="s">
        <v>2379</v>
      </c>
      <c r="D2012" s="25"/>
      <c r="E2012" s="39" t="str">
        <f>HYPERLINK("https://www.google.ru/search?q=1370494-390&amp;newwindow=1&amp;tbm=isch","Еще фото")</f>
        <v>Еще фото</v>
      </c>
      <c r="F2012" s="13"/>
      <c r="G2012" s="11" t="s">
        <v>2202</v>
      </c>
      <c r="H2012" s="11" t="s">
        <v>27</v>
      </c>
      <c r="I2012" s="14" t="s">
        <v>2190</v>
      </c>
      <c r="J2012" s="14" t="s">
        <v>29</v>
      </c>
      <c r="K2012" s="15" t="s">
        <v>30</v>
      </c>
      <c r="L2012" s="14" t="s">
        <v>2380</v>
      </c>
      <c r="M2012" s="14" t="s">
        <v>32</v>
      </c>
      <c r="N2012" s="14" t="s">
        <v>125</v>
      </c>
      <c r="O2012" s="14"/>
      <c r="P2012" s="15" t="s">
        <v>185</v>
      </c>
      <c r="Q2012" s="16">
        <v>15999</v>
      </c>
      <c r="R2012" s="17">
        <v>45.62</v>
      </c>
      <c r="S2012" s="18">
        <v>10004.988499999999</v>
      </c>
      <c r="T2012" s="19" t="s">
        <v>36</v>
      </c>
      <c r="U2012" s="20" t="s">
        <v>37</v>
      </c>
      <c r="V2012" s="21" t="s">
        <v>38</v>
      </c>
      <c r="W2012" s="22">
        <v>5</v>
      </c>
      <c r="X2012" s="23"/>
    </row>
    <row r="2013" spans="1:24" s="1" customFormat="1" ht="108" customHeight="1" x14ac:dyDescent="0.3">
      <c r="A2013" s="11" t="s">
        <v>23</v>
      </c>
      <c r="B2013" s="11" t="s">
        <v>2381</v>
      </c>
      <c r="C2013" s="12" t="s">
        <v>2382</v>
      </c>
      <c r="D2013" s="25"/>
      <c r="E2013" s="39" t="str">
        <f>HYPERLINK("https://www.google.ru/search?q=1370349-011&amp;newwindow=1&amp;tbm=isch","Еще фото")</f>
        <v>Еще фото</v>
      </c>
      <c r="F2013" s="13"/>
      <c r="G2013" s="11" t="s">
        <v>2198</v>
      </c>
      <c r="H2013" s="11" t="s">
        <v>27</v>
      </c>
      <c r="I2013" s="14" t="s">
        <v>2190</v>
      </c>
      <c r="J2013" s="14" t="s">
        <v>29</v>
      </c>
      <c r="K2013" s="15" t="s">
        <v>30</v>
      </c>
      <c r="L2013" s="14" t="s">
        <v>2383</v>
      </c>
      <c r="M2013" s="14" t="s">
        <v>56</v>
      </c>
      <c r="N2013" s="14" t="s">
        <v>84</v>
      </c>
      <c r="O2013" s="14" t="s">
        <v>34</v>
      </c>
      <c r="P2013" s="15" t="s">
        <v>274</v>
      </c>
      <c r="Q2013" s="16">
        <v>6799</v>
      </c>
      <c r="R2013" s="17">
        <v>45.58</v>
      </c>
      <c r="S2013" s="18">
        <v>4254.9884999999995</v>
      </c>
      <c r="T2013" s="19" t="s">
        <v>36</v>
      </c>
      <c r="U2013" s="20" t="s">
        <v>37</v>
      </c>
      <c r="V2013" s="21" t="s">
        <v>38</v>
      </c>
      <c r="W2013" s="22">
        <v>1</v>
      </c>
      <c r="X2013" s="23"/>
    </row>
    <row r="2014" spans="1:24" s="1" customFormat="1" ht="51.95" customHeight="1" x14ac:dyDescent="0.3">
      <c r="A2014" s="11" t="s">
        <v>23</v>
      </c>
      <c r="B2014" s="11" t="s">
        <v>2384</v>
      </c>
      <c r="C2014" s="12" t="s">
        <v>2385</v>
      </c>
      <c r="D2014" s="59"/>
      <c r="E2014" s="39" t="str">
        <f>HYPERLINK("https://www.google.ru/search?q=1371586-012&amp;newwindow=1&amp;tbm=isch","Еще фото")</f>
        <v>Еще фото</v>
      </c>
      <c r="F2014" s="13"/>
      <c r="G2014" s="11" t="s">
        <v>2202</v>
      </c>
      <c r="H2014" s="11" t="s">
        <v>27</v>
      </c>
      <c r="I2014" s="14" t="s">
        <v>2190</v>
      </c>
      <c r="J2014" s="14" t="s">
        <v>29</v>
      </c>
      <c r="K2014" s="15" t="s">
        <v>30</v>
      </c>
      <c r="L2014" s="56" t="s">
        <v>2386</v>
      </c>
      <c r="M2014" s="14" t="s">
        <v>2204</v>
      </c>
      <c r="N2014" s="14" t="s">
        <v>84</v>
      </c>
      <c r="O2014" s="14" t="s">
        <v>671</v>
      </c>
      <c r="P2014" s="15" t="s">
        <v>2387</v>
      </c>
      <c r="Q2014" s="16">
        <v>17999</v>
      </c>
      <c r="R2014" s="17">
        <v>45.55</v>
      </c>
      <c r="S2014" s="18">
        <v>11269.988499999999</v>
      </c>
      <c r="T2014" s="19" t="s">
        <v>36</v>
      </c>
      <c r="U2014" s="20" t="s">
        <v>69</v>
      </c>
      <c r="V2014" s="21" t="s">
        <v>75</v>
      </c>
      <c r="W2014" s="22">
        <v>1</v>
      </c>
      <c r="X2014" s="23"/>
    </row>
    <row r="2015" spans="1:24" s="1" customFormat="1" ht="60.95" customHeight="1" x14ac:dyDescent="0.3">
      <c r="A2015" s="24" t="s">
        <v>23</v>
      </c>
      <c r="B2015" s="24" t="s">
        <v>2384</v>
      </c>
      <c r="C2015" s="12" t="s">
        <v>2385</v>
      </c>
      <c r="D2015" s="60"/>
      <c r="E2015" s="39" t="str">
        <f>HYPERLINK("https://www.google.ru/search?q=1371586-012&amp;newwindow=1&amp;tbm=isch","Еще фото")</f>
        <v>Еще фото</v>
      </c>
      <c r="F2015" s="13"/>
      <c r="G2015" s="24" t="s">
        <v>2202</v>
      </c>
      <c r="H2015" s="24" t="s">
        <v>27</v>
      </c>
      <c r="I2015" s="24" t="s">
        <v>2190</v>
      </c>
      <c r="J2015" s="14" t="s">
        <v>29</v>
      </c>
      <c r="K2015" s="15" t="s">
        <v>30</v>
      </c>
      <c r="L2015" s="58"/>
      <c r="M2015" s="14" t="s">
        <v>2204</v>
      </c>
      <c r="N2015" s="14" t="s">
        <v>84</v>
      </c>
      <c r="O2015" s="14" t="s">
        <v>671</v>
      </c>
      <c r="P2015" s="15" t="s">
        <v>2387</v>
      </c>
      <c r="Q2015" s="16">
        <v>17999</v>
      </c>
      <c r="R2015" s="17">
        <v>45.55</v>
      </c>
      <c r="S2015" s="18">
        <v>11269.988499999999</v>
      </c>
      <c r="T2015" s="19" t="s">
        <v>36</v>
      </c>
      <c r="U2015" s="20" t="s">
        <v>37</v>
      </c>
      <c r="V2015" s="21" t="s">
        <v>38</v>
      </c>
      <c r="W2015" s="22">
        <v>2</v>
      </c>
      <c r="X2015" s="23"/>
    </row>
    <row r="2016" spans="1:24" s="1" customFormat="1" ht="108" customHeight="1" x14ac:dyDescent="0.3">
      <c r="A2016" s="11" t="s">
        <v>23</v>
      </c>
      <c r="B2016" s="11" t="s">
        <v>2388</v>
      </c>
      <c r="C2016" s="12" t="s">
        <v>2389</v>
      </c>
      <c r="D2016" s="25"/>
      <c r="E2016" s="39" t="str">
        <f>HYPERLINK("https://www.google.ru/search?q=6014621-299&amp;newwindow=1&amp;tbm=isch","Еще фото")</f>
        <v>Еще фото</v>
      </c>
      <c r="F2016" s="13" t="s">
        <v>98</v>
      </c>
      <c r="G2016" s="11" t="s">
        <v>2202</v>
      </c>
      <c r="H2016" s="11" t="s">
        <v>27</v>
      </c>
      <c r="I2016" s="14" t="s">
        <v>2190</v>
      </c>
      <c r="J2016" s="14" t="s">
        <v>47</v>
      </c>
      <c r="K2016" s="15" t="s">
        <v>30</v>
      </c>
      <c r="L2016" s="14" t="s">
        <v>2390</v>
      </c>
      <c r="M2016" s="14"/>
      <c r="N2016" s="14" t="s">
        <v>215</v>
      </c>
      <c r="O2016" s="14"/>
      <c r="P2016" s="15" t="s">
        <v>269</v>
      </c>
      <c r="Q2016" s="16">
        <v>8999</v>
      </c>
      <c r="R2016" s="17">
        <v>45.55</v>
      </c>
      <c r="S2016" s="18">
        <v>5634.9884999999995</v>
      </c>
      <c r="T2016" s="19" t="s">
        <v>36</v>
      </c>
      <c r="U2016" s="20" t="s">
        <v>37</v>
      </c>
      <c r="V2016" s="21" t="s">
        <v>38</v>
      </c>
      <c r="W2016" s="22">
        <v>10</v>
      </c>
      <c r="X2016" s="23"/>
    </row>
    <row r="2017" spans="1:24" s="1" customFormat="1" ht="108" customHeight="1" x14ac:dyDescent="0.3">
      <c r="A2017" s="11" t="s">
        <v>23</v>
      </c>
      <c r="B2017" s="11" t="s">
        <v>2388</v>
      </c>
      <c r="C2017" s="12" t="s">
        <v>2391</v>
      </c>
      <c r="D2017" s="25"/>
      <c r="E2017" s="39" t="str">
        <f>HYPERLINK("https://www.google.ru/search?q=6014621-338&amp;newwindow=1&amp;tbm=isch","Еще фото")</f>
        <v>Еще фото</v>
      </c>
      <c r="F2017" s="13"/>
      <c r="G2017" s="11" t="s">
        <v>2202</v>
      </c>
      <c r="H2017" s="11" t="s">
        <v>27</v>
      </c>
      <c r="I2017" s="14" t="s">
        <v>2190</v>
      </c>
      <c r="J2017" s="14" t="s">
        <v>47</v>
      </c>
      <c r="K2017" s="15" t="s">
        <v>30</v>
      </c>
      <c r="L2017" s="14" t="s">
        <v>2390</v>
      </c>
      <c r="M2017" s="14"/>
      <c r="N2017" s="14" t="s">
        <v>125</v>
      </c>
      <c r="O2017" s="14"/>
      <c r="P2017" s="15" t="s">
        <v>185</v>
      </c>
      <c r="Q2017" s="16">
        <v>8999</v>
      </c>
      <c r="R2017" s="17">
        <v>45.55</v>
      </c>
      <c r="S2017" s="18">
        <v>5634.9884999999995</v>
      </c>
      <c r="T2017" s="19" t="s">
        <v>36</v>
      </c>
      <c r="U2017" s="20" t="s">
        <v>37</v>
      </c>
      <c r="V2017" s="21" t="s">
        <v>38</v>
      </c>
      <c r="W2017" s="22">
        <v>5</v>
      </c>
      <c r="X2017" s="23"/>
    </row>
    <row r="2018" spans="1:24" s="1" customFormat="1" ht="108" customHeight="1" x14ac:dyDescent="0.3">
      <c r="A2018" s="11" t="s">
        <v>23</v>
      </c>
      <c r="B2018" s="11" t="s">
        <v>2333</v>
      </c>
      <c r="C2018" s="12" t="s">
        <v>2392</v>
      </c>
      <c r="D2018" s="25"/>
      <c r="E2018" s="39" t="str">
        <f>HYPERLINK("https://www.google.ru/search?q=1373358-299&amp;newwindow=1&amp;tbm=isch","Еще фото")</f>
        <v>Еще фото</v>
      </c>
      <c r="F2018" s="13"/>
      <c r="G2018" s="11" t="s">
        <v>2189</v>
      </c>
      <c r="H2018" s="11" t="s">
        <v>27</v>
      </c>
      <c r="I2018" s="14" t="s">
        <v>2190</v>
      </c>
      <c r="J2018" s="14" t="s">
        <v>29</v>
      </c>
      <c r="K2018" s="15" t="s">
        <v>30</v>
      </c>
      <c r="L2018" s="14" t="s">
        <v>2393</v>
      </c>
      <c r="M2018" s="14" t="s">
        <v>90</v>
      </c>
      <c r="N2018" s="14" t="s">
        <v>2394</v>
      </c>
      <c r="O2018" s="14"/>
      <c r="P2018" s="15" t="s">
        <v>51</v>
      </c>
      <c r="Q2018" s="16">
        <v>8599</v>
      </c>
      <c r="R2018" s="17">
        <v>45.34</v>
      </c>
      <c r="S2018" s="18">
        <v>5404.9884999999995</v>
      </c>
      <c r="T2018" s="19" t="s">
        <v>36</v>
      </c>
      <c r="U2018" s="20" t="s">
        <v>43</v>
      </c>
      <c r="V2018" s="21" t="s">
        <v>44</v>
      </c>
      <c r="W2018" s="22">
        <v>1</v>
      </c>
      <c r="X2018" s="23"/>
    </row>
    <row r="2019" spans="1:24" s="1" customFormat="1" ht="108" customHeight="1" x14ac:dyDescent="0.3">
      <c r="A2019" s="11" t="s">
        <v>23</v>
      </c>
      <c r="B2019" s="11" t="s">
        <v>2395</v>
      </c>
      <c r="C2019" s="12" t="s">
        <v>2396</v>
      </c>
      <c r="D2019" s="25"/>
      <c r="E2019" s="39" t="str">
        <f>HYPERLINK("https://www.google.ru/search?q=6009553-016&amp;newwindow=1&amp;tbm=isch","Еще фото")</f>
        <v>Еще фото</v>
      </c>
      <c r="F2019" s="13"/>
      <c r="G2019" s="11" t="s">
        <v>2189</v>
      </c>
      <c r="H2019" s="11" t="s">
        <v>27</v>
      </c>
      <c r="I2019" s="14" t="s">
        <v>2190</v>
      </c>
      <c r="J2019" s="14" t="s">
        <v>840</v>
      </c>
      <c r="K2019" s="15" t="s">
        <v>30</v>
      </c>
      <c r="L2019" s="14" t="s">
        <v>2397</v>
      </c>
      <c r="M2019" s="14"/>
      <c r="N2019" s="14" t="s">
        <v>84</v>
      </c>
      <c r="O2019" s="14"/>
      <c r="P2019" s="15" t="s">
        <v>51</v>
      </c>
      <c r="Q2019" s="16">
        <v>7499</v>
      </c>
      <c r="R2019" s="17">
        <v>45.33</v>
      </c>
      <c r="S2019" s="18">
        <v>4714.9884999999995</v>
      </c>
      <c r="T2019" s="19" t="s">
        <v>36</v>
      </c>
      <c r="U2019" s="20" t="s">
        <v>104</v>
      </c>
      <c r="V2019" s="21" t="s">
        <v>105</v>
      </c>
      <c r="W2019" s="22">
        <v>4</v>
      </c>
      <c r="X2019" s="23"/>
    </row>
    <row r="2020" spans="1:24" s="1" customFormat="1" ht="108" customHeight="1" x14ac:dyDescent="0.3">
      <c r="A2020" s="11" t="s">
        <v>23</v>
      </c>
      <c r="B2020" s="11" t="s">
        <v>2398</v>
      </c>
      <c r="C2020" s="12" t="s">
        <v>2399</v>
      </c>
      <c r="D2020" s="25"/>
      <c r="E2020" s="39" t="str">
        <f>HYPERLINK("https://www.google.ru/search?q=1377382-002&amp;newwindow=1&amp;tbm=isch","Еще фото")</f>
        <v>Еще фото</v>
      </c>
      <c r="F2020" s="13"/>
      <c r="G2020" s="11" t="s">
        <v>2202</v>
      </c>
      <c r="H2020" s="11" t="s">
        <v>27</v>
      </c>
      <c r="I2020" s="14" t="s">
        <v>2190</v>
      </c>
      <c r="J2020" s="14" t="s">
        <v>212</v>
      </c>
      <c r="K2020" s="15" t="s">
        <v>30</v>
      </c>
      <c r="L2020" s="14" t="s">
        <v>2400</v>
      </c>
      <c r="M2020" s="14" t="s">
        <v>32</v>
      </c>
      <c r="N2020" s="14" t="s">
        <v>410</v>
      </c>
      <c r="O2020" s="14"/>
      <c r="P2020" s="15" t="s">
        <v>2401</v>
      </c>
      <c r="Q2020" s="16">
        <v>12799</v>
      </c>
      <c r="R2020" s="17">
        <v>45.31</v>
      </c>
      <c r="S2020" s="18">
        <v>8049.9884999999995</v>
      </c>
      <c r="T2020" s="19" t="s">
        <v>36</v>
      </c>
      <c r="U2020" s="20" t="s">
        <v>381</v>
      </c>
      <c r="V2020" s="21" t="s">
        <v>382</v>
      </c>
      <c r="W2020" s="22">
        <v>1</v>
      </c>
      <c r="X2020" s="23"/>
    </row>
    <row r="2021" spans="1:24" s="1" customFormat="1" ht="51.95" customHeight="1" x14ac:dyDescent="0.3">
      <c r="A2021" s="11" t="s">
        <v>23</v>
      </c>
      <c r="B2021" s="11" t="s">
        <v>2402</v>
      </c>
      <c r="C2021" s="12" t="s">
        <v>2403</v>
      </c>
      <c r="D2021" s="59"/>
      <c r="E2021" s="39" t="str">
        <f>HYPERLINK("https://www.google.ru/search?q=1366202-410&amp;newwindow=1&amp;tbm=isch","Еще фото")</f>
        <v>Еще фото</v>
      </c>
      <c r="F2021" s="13"/>
      <c r="G2021" s="11" t="s">
        <v>2342</v>
      </c>
      <c r="H2021" s="11" t="s">
        <v>27</v>
      </c>
      <c r="I2021" s="14" t="s">
        <v>2190</v>
      </c>
      <c r="J2021" s="14" t="s">
        <v>29</v>
      </c>
      <c r="K2021" s="15" t="s">
        <v>30</v>
      </c>
      <c r="L2021" s="56" t="s">
        <v>2404</v>
      </c>
      <c r="M2021" s="14"/>
      <c r="N2021" s="14" t="s">
        <v>2086</v>
      </c>
      <c r="O2021" s="14"/>
      <c r="P2021" s="15" t="s">
        <v>51</v>
      </c>
      <c r="Q2021" s="16">
        <v>8399</v>
      </c>
      <c r="R2021" s="17">
        <v>45.23</v>
      </c>
      <c r="S2021" s="18">
        <v>5289.9884999999995</v>
      </c>
      <c r="T2021" s="19" t="s">
        <v>36</v>
      </c>
      <c r="U2021" s="20" t="s">
        <v>69</v>
      </c>
      <c r="V2021" s="21" t="s">
        <v>75</v>
      </c>
      <c r="W2021" s="22">
        <v>1</v>
      </c>
      <c r="X2021" s="23"/>
    </row>
    <row r="2022" spans="1:24" s="1" customFormat="1" ht="60.95" customHeight="1" x14ac:dyDescent="0.3">
      <c r="A2022" s="24" t="s">
        <v>23</v>
      </c>
      <c r="B2022" s="24" t="s">
        <v>2402</v>
      </c>
      <c r="C2022" s="12" t="s">
        <v>2403</v>
      </c>
      <c r="D2022" s="60"/>
      <c r="E2022" s="39" t="str">
        <f>HYPERLINK("https://www.google.ru/search?q=1366202-410&amp;newwindow=1&amp;tbm=isch","Еще фото")</f>
        <v>Еще фото</v>
      </c>
      <c r="F2022" s="13"/>
      <c r="G2022" s="24" t="s">
        <v>2342</v>
      </c>
      <c r="H2022" s="24" t="s">
        <v>27</v>
      </c>
      <c r="I2022" s="24" t="s">
        <v>2190</v>
      </c>
      <c r="J2022" s="14" t="s">
        <v>29</v>
      </c>
      <c r="K2022" s="15" t="s">
        <v>30</v>
      </c>
      <c r="L2022" s="58"/>
      <c r="M2022" s="14"/>
      <c r="N2022" s="14" t="s">
        <v>2086</v>
      </c>
      <c r="O2022" s="14"/>
      <c r="P2022" s="15" t="s">
        <v>51</v>
      </c>
      <c r="Q2022" s="16">
        <v>8399</v>
      </c>
      <c r="R2022" s="17">
        <v>45.23</v>
      </c>
      <c r="S2022" s="18">
        <v>5289.9884999999995</v>
      </c>
      <c r="T2022" s="19" t="s">
        <v>36</v>
      </c>
      <c r="U2022" s="20" t="s">
        <v>37</v>
      </c>
      <c r="V2022" s="21" t="s">
        <v>38</v>
      </c>
      <c r="W2022" s="22">
        <v>2</v>
      </c>
      <c r="X2022" s="23"/>
    </row>
    <row r="2023" spans="1:24" s="1" customFormat="1" ht="108" customHeight="1" x14ac:dyDescent="0.3">
      <c r="A2023" s="11" t="s">
        <v>23</v>
      </c>
      <c r="B2023" s="11" t="s">
        <v>2405</v>
      </c>
      <c r="C2023" s="12" t="s">
        <v>2406</v>
      </c>
      <c r="D2023" s="25"/>
      <c r="E2023" s="39" t="str">
        <f>HYPERLINK("https://www.google.ru/search?q=1366418-277&amp;newwindow=1&amp;tbm=isch","Еще фото")</f>
        <v>Еще фото</v>
      </c>
      <c r="F2023" s="13"/>
      <c r="G2023" s="11" t="s">
        <v>2407</v>
      </c>
      <c r="H2023" s="11" t="s">
        <v>27</v>
      </c>
      <c r="I2023" s="14" t="s">
        <v>2190</v>
      </c>
      <c r="J2023" s="14" t="s">
        <v>47</v>
      </c>
      <c r="K2023" s="15" t="s">
        <v>30</v>
      </c>
      <c r="L2023" s="14" t="s">
        <v>2408</v>
      </c>
      <c r="M2023" s="14" t="s">
        <v>49</v>
      </c>
      <c r="N2023" s="14" t="s">
        <v>249</v>
      </c>
      <c r="O2023" s="14" t="s">
        <v>34</v>
      </c>
      <c r="P2023" s="15" t="s">
        <v>35</v>
      </c>
      <c r="Q2023" s="16">
        <v>22999</v>
      </c>
      <c r="R2023" s="17">
        <v>45.22</v>
      </c>
      <c r="S2023" s="18">
        <v>14489.988499999999</v>
      </c>
      <c r="T2023" s="19" t="s">
        <v>36</v>
      </c>
      <c r="U2023" s="20" t="s">
        <v>37</v>
      </c>
      <c r="V2023" s="21" t="s">
        <v>38</v>
      </c>
      <c r="W2023" s="22">
        <v>1</v>
      </c>
      <c r="X2023" s="23"/>
    </row>
    <row r="2024" spans="1:24" s="1" customFormat="1" ht="108" customHeight="1" x14ac:dyDescent="0.3">
      <c r="A2024" s="11" t="s">
        <v>23</v>
      </c>
      <c r="B2024" s="11" t="s">
        <v>2409</v>
      </c>
      <c r="C2024" s="12" t="s">
        <v>2410</v>
      </c>
      <c r="D2024" s="25"/>
      <c r="E2024" s="39" t="str">
        <f>HYPERLINK("https://www.google.ru/search?q=1379760-390&amp;newwindow=1&amp;tbm=isch","Еще фото")</f>
        <v>Еще фото</v>
      </c>
      <c r="F2024" s="13"/>
      <c r="G2024" s="11" t="s">
        <v>2198</v>
      </c>
      <c r="H2024" s="11" t="s">
        <v>27</v>
      </c>
      <c r="I2024" s="14" t="s">
        <v>2190</v>
      </c>
      <c r="J2024" s="14" t="s">
        <v>29</v>
      </c>
      <c r="K2024" s="15" t="s">
        <v>30</v>
      </c>
      <c r="L2024" s="14" t="s">
        <v>2411</v>
      </c>
      <c r="M2024" s="14" t="s">
        <v>56</v>
      </c>
      <c r="N2024" s="14" t="s">
        <v>2412</v>
      </c>
      <c r="O2024" s="14"/>
      <c r="P2024" s="15" t="s">
        <v>113</v>
      </c>
      <c r="Q2024" s="16">
        <v>9299</v>
      </c>
      <c r="R2024" s="17">
        <v>45.16</v>
      </c>
      <c r="S2024" s="18">
        <v>5864.9884999999995</v>
      </c>
      <c r="T2024" s="19" t="s">
        <v>36</v>
      </c>
      <c r="U2024" s="20" t="s">
        <v>69</v>
      </c>
      <c r="V2024" s="21" t="s">
        <v>75</v>
      </c>
      <c r="W2024" s="22">
        <v>1</v>
      </c>
      <c r="X2024" s="23"/>
    </row>
    <row r="2025" spans="1:24" s="1" customFormat="1" ht="108" customHeight="1" x14ac:dyDescent="0.3">
      <c r="A2025" s="11" t="s">
        <v>23</v>
      </c>
      <c r="B2025" s="11" t="s">
        <v>2413</v>
      </c>
      <c r="C2025" s="12" t="s">
        <v>2414</v>
      </c>
      <c r="D2025" s="25"/>
      <c r="E2025" s="39" t="str">
        <f>HYPERLINK("https://www.google.ru/search?q=6008900-418&amp;newwindow=1&amp;tbm=isch","Еще фото")</f>
        <v>Еще фото</v>
      </c>
      <c r="F2025" s="13"/>
      <c r="G2025" s="11" t="s">
        <v>2198</v>
      </c>
      <c r="H2025" s="11" t="s">
        <v>27</v>
      </c>
      <c r="I2025" s="14" t="s">
        <v>2190</v>
      </c>
      <c r="J2025" s="14" t="s">
        <v>47</v>
      </c>
      <c r="K2025" s="15" t="s">
        <v>30</v>
      </c>
      <c r="L2025" s="14" t="s">
        <v>2415</v>
      </c>
      <c r="M2025" s="14"/>
      <c r="N2025" s="14" t="s">
        <v>91</v>
      </c>
      <c r="O2025" s="14"/>
      <c r="P2025" s="15" t="s">
        <v>113</v>
      </c>
      <c r="Q2025" s="16">
        <v>16399</v>
      </c>
      <c r="R2025" s="17">
        <v>45.12</v>
      </c>
      <c r="S2025" s="18">
        <v>10349.988499999999</v>
      </c>
      <c r="T2025" s="19" t="s">
        <v>36</v>
      </c>
      <c r="U2025" s="20" t="s">
        <v>37</v>
      </c>
      <c r="V2025" s="21" t="s">
        <v>38</v>
      </c>
      <c r="W2025" s="22">
        <v>1</v>
      </c>
      <c r="X2025" s="23"/>
    </row>
    <row r="2026" spans="1:24" s="1" customFormat="1" ht="108" customHeight="1" x14ac:dyDescent="0.3">
      <c r="A2026" s="11" t="s">
        <v>23</v>
      </c>
      <c r="B2026" s="11" t="s">
        <v>2416</v>
      </c>
      <c r="C2026" s="12" t="s">
        <v>2417</v>
      </c>
      <c r="D2026" s="25"/>
      <c r="E2026" s="39" t="str">
        <f>HYPERLINK("https://www.google.ru/search?q=1389354-044&amp;newwindow=1&amp;tbm=isch","Еще фото")</f>
        <v>Еще фото</v>
      </c>
      <c r="F2026" s="13"/>
      <c r="G2026" s="11" t="s">
        <v>2202</v>
      </c>
      <c r="H2026" s="11" t="s">
        <v>27</v>
      </c>
      <c r="I2026" s="14" t="s">
        <v>2190</v>
      </c>
      <c r="J2026" s="14" t="s">
        <v>47</v>
      </c>
      <c r="K2026" s="15" t="s">
        <v>30</v>
      </c>
      <c r="L2026" s="14" t="s">
        <v>2418</v>
      </c>
      <c r="M2026" s="14"/>
      <c r="N2026" s="14" t="s">
        <v>84</v>
      </c>
      <c r="O2026" s="14"/>
      <c r="P2026" s="15" t="s">
        <v>185</v>
      </c>
      <c r="Q2026" s="16">
        <v>13299</v>
      </c>
      <c r="R2026" s="17">
        <v>45.11</v>
      </c>
      <c r="S2026" s="18">
        <v>8394.9884999999995</v>
      </c>
      <c r="T2026" s="19" t="s">
        <v>36</v>
      </c>
      <c r="U2026" s="20" t="s">
        <v>43</v>
      </c>
      <c r="V2026" s="21" t="s">
        <v>44</v>
      </c>
      <c r="W2026" s="22">
        <v>1</v>
      </c>
      <c r="X2026" s="23"/>
    </row>
    <row r="2027" spans="1:24" s="1" customFormat="1" ht="26.1" customHeight="1" x14ac:dyDescent="0.3">
      <c r="A2027" s="11" t="s">
        <v>23</v>
      </c>
      <c r="B2027" s="11" t="s">
        <v>2419</v>
      </c>
      <c r="C2027" s="12" t="s">
        <v>2420</v>
      </c>
      <c r="D2027" s="53"/>
      <c r="E2027" s="39" t="str">
        <f>HYPERLINK("https://www.google.ru/search?q=1390298-001&amp;newwindow=1&amp;tbm=isch","Еще фото")</f>
        <v>Еще фото</v>
      </c>
      <c r="F2027" s="13" t="s">
        <v>98</v>
      </c>
      <c r="G2027" s="11" t="s">
        <v>2198</v>
      </c>
      <c r="H2027" s="11" t="s">
        <v>27</v>
      </c>
      <c r="I2027" s="14" t="s">
        <v>2190</v>
      </c>
      <c r="J2027" s="14" t="s">
        <v>47</v>
      </c>
      <c r="K2027" s="15" t="s">
        <v>30</v>
      </c>
      <c r="L2027" s="56" t="s">
        <v>2421</v>
      </c>
      <c r="M2027" s="14"/>
      <c r="N2027" s="14" t="s">
        <v>33</v>
      </c>
      <c r="O2027" s="14"/>
      <c r="P2027" s="15" t="s">
        <v>113</v>
      </c>
      <c r="Q2027" s="16">
        <v>9699</v>
      </c>
      <c r="R2027" s="17">
        <v>45.07</v>
      </c>
      <c r="S2027" s="18">
        <v>6126.9354999999996</v>
      </c>
      <c r="T2027" s="19" t="s">
        <v>36</v>
      </c>
      <c r="U2027" s="20" t="s">
        <v>37</v>
      </c>
      <c r="V2027" s="21" t="s">
        <v>38</v>
      </c>
      <c r="W2027" s="22">
        <v>2</v>
      </c>
      <c r="X2027" s="23"/>
    </row>
    <row r="2028" spans="1:24" s="1" customFormat="1" ht="26.1" customHeight="1" x14ac:dyDescent="0.3">
      <c r="A2028" s="24" t="s">
        <v>23</v>
      </c>
      <c r="B2028" s="24" t="s">
        <v>2419</v>
      </c>
      <c r="C2028" s="12" t="s">
        <v>2420</v>
      </c>
      <c r="D2028" s="54"/>
      <c r="E2028" s="39" t="str">
        <f>HYPERLINK("https://www.google.ru/search?q=1390298-001&amp;newwindow=1&amp;tbm=isch","Еще фото")</f>
        <v>Еще фото</v>
      </c>
      <c r="F2028" s="13" t="s">
        <v>98</v>
      </c>
      <c r="G2028" s="24" t="s">
        <v>2198</v>
      </c>
      <c r="H2028" s="24" t="s">
        <v>27</v>
      </c>
      <c r="I2028" s="24" t="s">
        <v>2190</v>
      </c>
      <c r="J2028" s="14" t="s">
        <v>47</v>
      </c>
      <c r="K2028" s="15" t="s">
        <v>30</v>
      </c>
      <c r="L2028" s="57"/>
      <c r="M2028" s="14"/>
      <c r="N2028" s="14" t="s">
        <v>33</v>
      </c>
      <c r="O2028" s="14"/>
      <c r="P2028" s="15" t="s">
        <v>113</v>
      </c>
      <c r="Q2028" s="16">
        <v>9699</v>
      </c>
      <c r="R2028" s="17">
        <v>45.07</v>
      </c>
      <c r="S2028" s="18">
        <v>6126.9354999999996</v>
      </c>
      <c r="T2028" s="19" t="s">
        <v>36</v>
      </c>
      <c r="U2028" s="20" t="s">
        <v>39</v>
      </c>
      <c r="V2028" s="21" t="s">
        <v>40</v>
      </c>
      <c r="W2028" s="22">
        <v>10</v>
      </c>
      <c r="X2028" s="23"/>
    </row>
    <row r="2029" spans="1:24" s="1" customFormat="1" ht="26.1" customHeight="1" x14ac:dyDescent="0.3">
      <c r="A2029" s="24" t="s">
        <v>23</v>
      </c>
      <c r="B2029" s="24" t="s">
        <v>2419</v>
      </c>
      <c r="C2029" s="12" t="s">
        <v>2420</v>
      </c>
      <c r="D2029" s="54"/>
      <c r="E2029" s="39" t="str">
        <f>HYPERLINK("https://www.google.ru/search?q=1390298-001&amp;newwindow=1&amp;tbm=isch","Еще фото")</f>
        <v>Еще фото</v>
      </c>
      <c r="F2029" s="13" t="s">
        <v>98</v>
      </c>
      <c r="G2029" s="24" t="s">
        <v>2198</v>
      </c>
      <c r="H2029" s="24" t="s">
        <v>27</v>
      </c>
      <c r="I2029" s="24" t="s">
        <v>2190</v>
      </c>
      <c r="J2029" s="14" t="s">
        <v>47</v>
      </c>
      <c r="K2029" s="15" t="s">
        <v>30</v>
      </c>
      <c r="L2029" s="57"/>
      <c r="M2029" s="14"/>
      <c r="N2029" s="14" t="s">
        <v>33</v>
      </c>
      <c r="O2029" s="14"/>
      <c r="P2029" s="15" t="s">
        <v>113</v>
      </c>
      <c r="Q2029" s="16">
        <v>9699</v>
      </c>
      <c r="R2029" s="17">
        <v>45.07</v>
      </c>
      <c r="S2029" s="18">
        <v>6126.9354999999996</v>
      </c>
      <c r="T2029" s="19" t="s">
        <v>36</v>
      </c>
      <c r="U2029" s="20" t="s">
        <v>41</v>
      </c>
      <c r="V2029" s="21" t="s">
        <v>42</v>
      </c>
      <c r="W2029" s="22">
        <v>1</v>
      </c>
      <c r="X2029" s="23"/>
    </row>
    <row r="2030" spans="1:24" s="1" customFormat="1" ht="26.1" customHeight="1" x14ac:dyDescent="0.3">
      <c r="A2030" s="24" t="s">
        <v>23</v>
      </c>
      <c r="B2030" s="24" t="s">
        <v>2419</v>
      </c>
      <c r="C2030" s="12" t="s">
        <v>2420</v>
      </c>
      <c r="D2030" s="55"/>
      <c r="E2030" s="39" t="str">
        <f>HYPERLINK("https://www.google.ru/search?q=1390298-001&amp;newwindow=1&amp;tbm=isch","Еще фото")</f>
        <v>Еще фото</v>
      </c>
      <c r="F2030" s="13" t="s">
        <v>98</v>
      </c>
      <c r="G2030" s="24" t="s">
        <v>2198</v>
      </c>
      <c r="H2030" s="24" t="s">
        <v>27</v>
      </c>
      <c r="I2030" s="24" t="s">
        <v>2190</v>
      </c>
      <c r="J2030" s="14" t="s">
        <v>47</v>
      </c>
      <c r="K2030" s="15" t="s">
        <v>30</v>
      </c>
      <c r="L2030" s="58"/>
      <c r="M2030" s="14"/>
      <c r="N2030" s="14" t="s">
        <v>33</v>
      </c>
      <c r="O2030" s="14"/>
      <c r="P2030" s="15" t="s">
        <v>113</v>
      </c>
      <c r="Q2030" s="16">
        <v>9699</v>
      </c>
      <c r="R2030" s="17">
        <v>45.07</v>
      </c>
      <c r="S2030" s="18">
        <v>6126.9354999999996</v>
      </c>
      <c r="T2030" s="19" t="s">
        <v>36</v>
      </c>
      <c r="U2030" s="20" t="s">
        <v>104</v>
      </c>
      <c r="V2030" s="21" t="s">
        <v>105</v>
      </c>
      <c r="W2030" s="22">
        <v>1</v>
      </c>
      <c r="X2030" s="23"/>
    </row>
    <row r="2031" spans="1:24" s="1" customFormat="1" ht="35.1" customHeight="1" x14ac:dyDescent="0.3">
      <c r="A2031" s="11" t="s">
        <v>23</v>
      </c>
      <c r="B2031" s="11" t="s">
        <v>2283</v>
      </c>
      <c r="C2031" s="12" t="s">
        <v>2422</v>
      </c>
      <c r="D2031" s="53"/>
      <c r="E2031" s="39" t="str">
        <f>HYPERLINK("https://www.google.ru/search?q=1373880-391&amp;newwindow=1&amp;tbm=isch","Еще фото")</f>
        <v>Еще фото</v>
      </c>
      <c r="F2031" s="13"/>
      <c r="G2031" s="11" t="s">
        <v>2198</v>
      </c>
      <c r="H2031" s="11" t="s">
        <v>27</v>
      </c>
      <c r="I2031" s="14" t="s">
        <v>2190</v>
      </c>
      <c r="J2031" s="14" t="s">
        <v>29</v>
      </c>
      <c r="K2031" s="15" t="s">
        <v>30</v>
      </c>
      <c r="L2031" s="56" t="s">
        <v>2236</v>
      </c>
      <c r="M2031" s="14"/>
      <c r="N2031" s="14" t="s">
        <v>125</v>
      </c>
      <c r="O2031" s="14"/>
      <c r="P2031" s="15" t="s">
        <v>113</v>
      </c>
      <c r="Q2031" s="16">
        <v>8199</v>
      </c>
      <c r="R2031" s="17">
        <v>45.02</v>
      </c>
      <c r="S2031" s="18">
        <v>5183.9355000000005</v>
      </c>
      <c r="T2031" s="19" t="s">
        <v>36</v>
      </c>
      <c r="U2031" s="20" t="s">
        <v>37</v>
      </c>
      <c r="V2031" s="21" t="s">
        <v>38</v>
      </c>
      <c r="W2031" s="22">
        <v>12</v>
      </c>
      <c r="X2031" s="23"/>
    </row>
    <row r="2032" spans="1:24" s="1" customFormat="1" ht="35.1" customHeight="1" x14ac:dyDescent="0.3">
      <c r="A2032" s="24" t="s">
        <v>23</v>
      </c>
      <c r="B2032" s="24" t="s">
        <v>2283</v>
      </c>
      <c r="C2032" s="12" t="s">
        <v>2422</v>
      </c>
      <c r="D2032" s="54"/>
      <c r="E2032" s="39" t="str">
        <f>HYPERLINK("https://www.google.ru/search?q=1373880-391&amp;newwindow=1&amp;tbm=isch","Еще фото")</f>
        <v>Еще фото</v>
      </c>
      <c r="F2032" s="13"/>
      <c r="G2032" s="24" t="s">
        <v>2198</v>
      </c>
      <c r="H2032" s="24" t="s">
        <v>27</v>
      </c>
      <c r="I2032" s="24" t="s">
        <v>2190</v>
      </c>
      <c r="J2032" s="14" t="s">
        <v>29</v>
      </c>
      <c r="K2032" s="15" t="s">
        <v>30</v>
      </c>
      <c r="L2032" s="57"/>
      <c r="M2032" s="14"/>
      <c r="N2032" s="14" t="s">
        <v>125</v>
      </c>
      <c r="O2032" s="14"/>
      <c r="P2032" s="15" t="s">
        <v>113</v>
      </c>
      <c r="Q2032" s="16">
        <v>8199</v>
      </c>
      <c r="R2032" s="17">
        <v>45.02</v>
      </c>
      <c r="S2032" s="18">
        <v>5183.9355000000005</v>
      </c>
      <c r="T2032" s="19" t="s">
        <v>36</v>
      </c>
      <c r="U2032" s="20" t="s">
        <v>39</v>
      </c>
      <c r="V2032" s="21" t="s">
        <v>40</v>
      </c>
      <c r="W2032" s="22">
        <v>17</v>
      </c>
      <c r="X2032" s="23"/>
    </row>
    <row r="2033" spans="1:24" s="1" customFormat="1" ht="36.950000000000003" customHeight="1" x14ac:dyDescent="0.3">
      <c r="A2033" s="24" t="s">
        <v>23</v>
      </c>
      <c r="B2033" s="24" t="s">
        <v>2283</v>
      </c>
      <c r="C2033" s="12" t="s">
        <v>2422</v>
      </c>
      <c r="D2033" s="55"/>
      <c r="E2033" s="39" t="str">
        <f>HYPERLINK("https://www.google.ru/search?q=1373880-391&amp;newwindow=1&amp;tbm=isch","Еще фото")</f>
        <v>Еще фото</v>
      </c>
      <c r="F2033" s="13"/>
      <c r="G2033" s="24" t="s">
        <v>2198</v>
      </c>
      <c r="H2033" s="24" t="s">
        <v>27</v>
      </c>
      <c r="I2033" s="24" t="s">
        <v>2190</v>
      </c>
      <c r="J2033" s="14" t="s">
        <v>29</v>
      </c>
      <c r="K2033" s="15" t="s">
        <v>30</v>
      </c>
      <c r="L2033" s="58"/>
      <c r="M2033" s="14"/>
      <c r="N2033" s="14" t="s">
        <v>125</v>
      </c>
      <c r="O2033" s="14"/>
      <c r="P2033" s="15" t="s">
        <v>113</v>
      </c>
      <c r="Q2033" s="16">
        <v>8199</v>
      </c>
      <c r="R2033" s="17">
        <v>45.02</v>
      </c>
      <c r="S2033" s="18">
        <v>5183.9355000000005</v>
      </c>
      <c r="T2033" s="19" t="s">
        <v>36</v>
      </c>
      <c r="U2033" s="20" t="s">
        <v>41</v>
      </c>
      <c r="V2033" s="21" t="s">
        <v>42</v>
      </c>
      <c r="W2033" s="22">
        <v>8</v>
      </c>
      <c r="X2033" s="23"/>
    </row>
    <row r="2034" spans="1:24" s="1" customFormat="1" ht="35.1" customHeight="1" x14ac:dyDescent="0.3">
      <c r="A2034" s="11" t="s">
        <v>23</v>
      </c>
      <c r="B2034" s="11" t="s">
        <v>2423</v>
      </c>
      <c r="C2034" s="12" t="s">
        <v>2424</v>
      </c>
      <c r="D2034" s="53"/>
      <c r="E2034" s="39" t="str">
        <f>HYPERLINK("https://www.google.ru/search?q=6009836-001&amp;newwindow=1&amp;tbm=isch","Еще фото")</f>
        <v>Еще фото</v>
      </c>
      <c r="F2034" s="13"/>
      <c r="G2034" s="11" t="s">
        <v>2202</v>
      </c>
      <c r="H2034" s="11" t="s">
        <v>27</v>
      </c>
      <c r="I2034" s="14" t="s">
        <v>2190</v>
      </c>
      <c r="J2034" s="14" t="s">
        <v>47</v>
      </c>
      <c r="K2034" s="15" t="s">
        <v>54</v>
      </c>
      <c r="L2034" s="56" t="s">
        <v>2425</v>
      </c>
      <c r="M2034" s="14"/>
      <c r="N2034" s="14" t="s">
        <v>33</v>
      </c>
      <c r="O2034" s="14"/>
      <c r="P2034" s="15" t="s">
        <v>100</v>
      </c>
      <c r="Q2034" s="16">
        <v>7299</v>
      </c>
      <c r="R2034" s="17">
        <v>43</v>
      </c>
      <c r="S2034" s="18">
        <v>4784.4944999999998</v>
      </c>
      <c r="T2034" s="19" t="s">
        <v>36</v>
      </c>
      <c r="U2034" s="20" t="s">
        <v>114</v>
      </c>
      <c r="V2034" s="21" t="s">
        <v>115</v>
      </c>
      <c r="W2034" s="22">
        <v>6</v>
      </c>
      <c r="X2034" s="23"/>
    </row>
    <row r="2035" spans="1:24" s="1" customFormat="1" ht="35.1" customHeight="1" x14ac:dyDescent="0.3">
      <c r="A2035" s="24" t="s">
        <v>23</v>
      </c>
      <c r="B2035" s="24" t="s">
        <v>2423</v>
      </c>
      <c r="C2035" s="12" t="s">
        <v>2424</v>
      </c>
      <c r="D2035" s="54"/>
      <c r="E2035" s="39" t="str">
        <f>HYPERLINK("https://www.google.ru/search?q=6009836-001&amp;newwindow=1&amp;tbm=isch","Еще фото")</f>
        <v>Еще фото</v>
      </c>
      <c r="F2035" s="13"/>
      <c r="G2035" s="24" t="s">
        <v>2202</v>
      </c>
      <c r="H2035" s="24" t="s">
        <v>27</v>
      </c>
      <c r="I2035" s="24" t="s">
        <v>2190</v>
      </c>
      <c r="J2035" s="14" t="s">
        <v>47</v>
      </c>
      <c r="K2035" s="15" t="s">
        <v>54</v>
      </c>
      <c r="L2035" s="57"/>
      <c r="M2035" s="14"/>
      <c r="N2035" s="14" t="s">
        <v>33</v>
      </c>
      <c r="O2035" s="14"/>
      <c r="P2035" s="15" t="s">
        <v>100</v>
      </c>
      <c r="Q2035" s="16">
        <v>7299</v>
      </c>
      <c r="R2035" s="17">
        <v>43</v>
      </c>
      <c r="S2035" s="18">
        <v>4784.4944999999998</v>
      </c>
      <c r="T2035" s="19" t="s">
        <v>36</v>
      </c>
      <c r="U2035" s="20" t="s">
        <v>126</v>
      </c>
      <c r="V2035" s="21" t="s">
        <v>127</v>
      </c>
      <c r="W2035" s="22">
        <v>7</v>
      </c>
      <c r="X2035" s="23"/>
    </row>
    <row r="2036" spans="1:24" s="1" customFormat="1" ht="36.950000000000003" customHeight="1" x14ac:dyDescent="0.3">
      <c r="A2036" s="24" t="s">
        <v>23</v>
      </c>
      <c r="B2036" s="24" t="s">
        <v>2423</v>
      </c>
      <c r="C2036" s="12" t="s">
        <v>2424</v>
      </c>
      <c r="D2036" s="55"/>
      <c r="E2036" s="39" t="str">
        <f>HYPERLINK("https://www.google.ru/search?q=6009836-001&amp;newwindow=1&amp;tbm=isch","Еще фото")</f>
        <v>Еще фото</v>
      </c>
      <c r="F2036" s="13"/>
      <c r="G2036" s="24" t="s">
        <v>2202</v>
      </c>
      <c r="H2036" s="24" t="s">
        <v>27</v>
      </c>
      <c r="I2036" s="24" t="s">
        <v>2190</v>
      </c>
      <c r="J2036" s="14" t="s">
        <v>47</v>
      </c>
      <c r="K2036" s="15" t="s">
        <v>54</v>
      </c>
      <c r="L2036" s="58"/>
      <c r="M2036" s="14"/>
      <c r="N2036" s="14" t="s">
        <v>33</v>
      </c>
      <c r="O2036" s="14"/>
      <c r="P2036" s="15" t="s">
        <v>100</v>
      </c>
      <c r="Q2036" s="16">
        <v>7299</v>
      </c>
      <c r="R2036" s="17">
        <v>43</v>
      </c>
      <c r="S2036" s="18">
        <v>4784.4944999999998</v>
      </c>
      <c r="T2036" s="19" t="s">
        <v>36</v>
      </c>
      <c r="U2036" s="20" t="s">
        <v>128</v>
      </c>
      <c r="V2036" s="21" t="s">
        <v>129</v>
      </c>
      <c r="W2036" s="22">
        <v>4</v>
      </c>
      <c r="X2036" s="23"/>
    </row>
    <row r="2037" spans="1:24" s="1" customFormat="1" ht="26.1" customHeight="1" x14ac:dyDescent="0.3">
      <c r="A2037" s="11" t="s">
        <v>23</v>
      </c>
      <c r="B2037" s="11" t="s">
        <v>2423</v>
      </c>
      <c r="C2037" s="12" t="s">
        <v>2426</v>
      </c>
      <c r="D2037" s="53"/>
      <c r="E2037" s="39" t="str">
        <f>HYPERLINK("https://www.google.ru/search?q=6009836-025&amp;newwindow=1&amp;tbm=isch","Еще фото")</f>
        <v>Еще фото</v>
      </c>
      <c r="F2037" s="13"/>
      <c r="G2037" s="11" t="s">
        <v>2202</v>
      </c>
      <c r="H2037" s="11" t="s">
        <v>27</v>
      </c>
      <c r="I2037" s="14" t="s">
        <v>2190</v>
      </c>
      <c r="J2037" s="14" t="s">
        <v>47</v>
      </c>
      <c r="K2037" s="15" t="s">
        <v>54</v>
      </c>
      <c r="L2037" s="56" t="s">
        <v>2425</v>
      </c>
      <c r="M2037" s="14"/>
      <c r="N2037" s="14" t="s">
        <v>84</v>
      </c>
      <c r="O2037" s="14"/>
      <c r="P2037" s="15" t="s">
        <v>100</v>
      </c>
      <c r="Q2037" s="16">
        <v>7299</v>
      </c>
      <c r="R2037" s="17">
        <v>43</v>
      </c>
      <c r="S2037" s="18">
        <v>4784.4944999999998</v>
      </c>
      <c r="T2037" s="19" t="s">
        <v>36</v>
      </c>
      <c r="U2037" s="20" t="s">
        <v>114</v>
      </c>
      <c r="V2037" s="21" t="s">
        <v>115</v>
      </c>
      <c r="W2037" s="22">
        <v>5</v>
      </c>
      <c r="X2037" s="23"/>
    </row>
    <row r="2038" spans="1:24" s="1" customFormat="1" ht="26.1" customHeight="1" x14ac:dyDescent="0.3">
      <c r="A2038" s="24" t="s">
        <v>23</v>
      </c>
      <c r="B2038" s="24" t="s">
        <v>2423</v>
      </c>
      <c r="C2038" s="12" t="s">
        <v>2426</v>
      </c>
      <c r="D2038" s="54"/>
      <c r="E2038" s="39" t="str">
        <f>HYPERLINK("https://www.google.ru/search?q=6009836-025&amp;newwindow=1&amp;tbm=isch","Еще фото")</f>
        <v>Еще фото</v>
      </c>
      <c r="F2038" s="13"/>
      <c r="G2038" s="24" t="s">
        <v>2202</v>
      </c>
      <c r="H2038" s="24" t="s">
        <v>27</v>
      </c>
      <c r="I2038" s="24" t="s">
        <v>2190</v>
      </c>
      <c r="J2038" s="14" t="s">
        <v>47</v>
      </c>
      <c r="K2038" s="15" t="s">
        <v>54</v>
      </c>
      <c r="L2038" s="57"/>
      <c r="M2038" s="14"/>
      <c r="N2038" s="14" t="s">
        <v>84</v>
      </c>
      <c r="O2038" s="14"/>
      <c r="P2038" s="15" t="s">
        <v>100</v>
      </c>
      <c r="Q2038" s="16">
        <v>7299</v>
      </c>
      <c r="R2038" s="17">
        <v>43</v>
      </c>
      <c r="S2038" s="18">
        <v>4784.4944999999998</v>
      </c>
      <c r="T2038" s="19" t="s">
        <v>36</v>
      </c>
      <c r="U2038" s="20" t="s">
        <v>126</v>
      </c>
      <c r="V2038" s="21" t="s">
        <v>127</v>
      </c>
      <c r="W2038" s="22">
        <v>7</v>
      </c>
      <c r="X2038" s="23"/>
    </row>
    <row r="2039" spans="1:24" s="1" customFormat="1" ht="26.1" customHeight="1" x14ac:dyDescent="0.3">
      <c r="A2039" s="24" t="s">
        <v>23</v>
      </c>
      <c r="B2039" s="24" t="s">
        <v>2423</v>
      </c>
      <c r="C2039" s="12" t="s">
        <v>2426</v>
      </c>
      <c r="D2039" s="54"/>
      <c r="E2039" s="39" t="str">
        <f>HYPERLINK("https://www.google.ru/search?q=6009836-025&amp;newwindow=1&amp;tbm=isch","Еще фото")</f>
        <v>Еще фото</v>
      </c>
      <c r="F2039" s="13"/>
      <c r="G2039" s="24" t="s">
        <v>2202</v>
      </c>
      <c r="H2039" s="24" t="s">
        <v>27</v>
      </c>
      <c r="I2039" s="24" t="s">
        <v>2190</v>
      </c>
      <c r="J2039" s="14" t="s">
        <v>47</v>
      </c>
      <c r="K2039" s="15" t="s">
        <v>54</v>
      </c>
      <c r="L2039" s="57"/>
      <c r="M2039" s="14"/>
      <c r="N2039" s="14" t="s">
        <v>84</v>
      </c>
      <c r="O2039" s="14"/>
      <c r="P2039" s="15" t="s">
        <v>100</v>
      </c>
      <c r="Q2039" s="16">
        <v>7299</v>
      </c>
      <c r="R2039" s="17">
        <v>43</v>
      </c>
      <c r="S2039" s="18">
        <v>4784.4944999999998</v>
      </c>
      <c r="T2039" s="19" t="s">
        <v>36</v>
      </c>
      <c r="U2039" s="20" t="s">
        <v>128</v>
      </c>
      <c r="V2039" s="21" t="s">
        <v>129</v>
      </c>
      <c r="W2039" s="22">
        <v>6</v>
      </c>
      <c r="X2039" s="23"/>
    </row>
    <row r="2040" spans="1:24" s="1" customFormat="1" ht="26.1" customHeight="1" x14ac:dyDescent="0.3">
      <c r="A2040" s="24" t="s">
        <v>23</v>
      </c>
      <c r="B2040" s="24" t="s">
        <v>2423</v>
      </c>
      <c r="C2040" s="12" t="s">
        <v>2426</v>
      </c>
      <c r="D2040" s="55"/>
      <c r="E2040" s="39" t="str">
        <f>HYPERLINK("https://www.google.ru/search?q=6009836-025&amp;newwindow=1&amp;tbm=isch","Еще фото")</f>
        <v>Еще фото</v>
      </c>
      <c r="F2040" s="13"/>
      <c r="G2040" s="24" t="s">
        <v>2202</v>
      </c>
      <c r="H2040" s="24" t="s">
        <v>27</v>
      </c>
      <c r="I2040" s="24" t="s">
        <v>2190</v>
      </c>
      <c r="J2040" s="14" t="s">
        <v>47</v>
      </c>
      <c r="K2040" s="15" t="s">
        <v>54</v>
      </c>
      <c r="L2040" s="58"/>
      <c r="M2040" s="14"/>
      <c r="N2040" s="14" t="s">
        <v>84</v>
      </c>
      <c r="O2040" s="14"/>
      <c r="P2040" s="15" t="s">
        <v>100</v>
      </c>
      <c r="Q2040" s="16">
        <v>7299</v>
      </c>
      <c r="R2040" s="17">
        <v>43</v>
      </c>
      <c r="S2040" s="18">
        <v>4784.4944999999998</v>
      </c>
      <c r="T2040" s="19" t="s">
        <v>36</v>
      </c>
      <c r="U2040" s="20" t="s">
        <v>59</v>
      </c>
      <c r="V2040" s="21" t="s">
        <v>60</v>
      </c>
      <c r="W2040" s="22">
        <v>9</v>
      </c>
      <c r="X2040" s="23"/>
    </row>
    <row r="2041" spans="1:24" s="1" customFormat="1" ht="21" customHeight="1" x14ac:dyDescent="0.3">
      <c r="A2041" s="11" t="s">
        <v>23</v>
      </c>
      <c r="B2041" s="11" t="s">
        <v>2423</v>
      </c>
      <c r="C2041" s="26" t="s">
        <v>2427</v>
      </c>
      <c r="D2041" s="53"/>
      <c r="E2041" s="39" t="str">
        <f>HYPERLINK("https://www.google.ru/search?q=6009836-498&amp;newwindow=1&amp;tbm=isch","Еще фото")</f>
        <v>Еще фото</v>
      </c>
      <c r="F2041" s="13"/>
      <c r="G2041" s="11" t="s">
        <v>2202</v>
      </c>
      <c r="H2041" s="11" t="s">
        <v>27</v>
      </c>
      <c r="I2041" s="14" t="s">
        <v>2190</v>
      </c>
      <c r="J2041" s="14" t="s">
        <v>47</v>
      </c>
      <c r="K2041" s="15" t="s">
        <v>54</v>
      </c>
      <c r="L2041" s="56" t="s">
        <v>2425</v>
      </c>
      <c r="M2041" s="14"/>
      <c r="N2041" s="14" t="s">
        <v>91</v>
      </c>
      <c r="O2041" s="14"/>
      <c r="P2041" s="15" t="s">
        <v>100</v>
      </c>
      <c r="Q2041" s="16">
        <v>7299</v>
      </c>
      <c r="R2041" s="17">
        <v>43</v>
      </c>
      <c r="S2041" s="18">
        <v>4784.4944999999998</v>
      </c>
      <c r="T2041" s="19" t="s">
        <v>36</v>
      </c>
      <c r="U2041" s="20" t="s">
        <v>114</v>
      </c>
      <c r="V2041" s="21" t="s">
        <v>115</v>
      </c>
      <c r="W2041" s="22">
        <v>6</v>
      </c>
      <c r="X2041" s="23"/>
    </row>
    <row r="2042" spans="1:24" s="1" customFormat="1" ht="21" customHeight="1" x14ac:dyDescent="0.3">
      <c r="A2042" s="24" t="s">
        <v>23</v>
      </c>
      <c r="B2042" s="24" t="s">
        <v>2423</v>
      </c>
      <c r="C2042" s="27" t="s">
        <v>2427</v>
      </c>
      <c r="D2042" s="54"/>
      <c r="E2042" s="39" t="str">
        <f>HYPERLINK("https://www.google.ru/search?q=6009836-498&amp;newwindow=1&amp;tbm=isch","Еще фото")</f>
        <v>Еще фото</v>
      </c>
      <c r="F2042" s="13"/>
      <c r="G2042" s="24" t="s">
        <v>2202</v>
      </c>
      <c r="H2042" s="24" t="s">
        <v>27</v>
      </c>
      <c r="I2042" s="24" t="s">
        <v>2190</v>
      </c>
      <c r="J2042" s="14" t="s">
        <v>47</v>
      </c>
      <c r="K2042" s="15" t="s">
        <v>54</v>
      </c>
      <c r="L2042" s="57"/>
      <c r="M2042" s="14"/>
      <c r="N2042" s="14" t="s">
        <v>91</v>
      </c>
      <c r="O2042" s="14"/>
      <c r="P2042" s="15" t="s">
        <v>100</v>
      </c>
      <c r="Q2042" s="16">
        <v>7299</v>
      </c>
      <c r="R2042" s="17">
        <v>43</v>
      </c>
      <c r="S2042" s="18">
        <v>4784.4944999999998</v>
      </c>
      <c r="T2042" s="19" t="s">
        <v>36</v>
      </c>
      <c r="U2042" s="20" t="s">
        <v>126</v>
      </c>
      <c r="V2042" s="21" t="s">
        <v>127</v>
      </c>
      <c r="W2042" s="22">
        <v>6</v>
      </c>
      <c r="X2042" s="23"/>
    </row>
    <row r="2043" spans="1:24" s="1" customFormat="1" ht="21" customHeight="1" x14ac:dyDescent="0.3">
      <c r="A2043" s="24" t="s">
        <v>23</v>
      </c>
      <c r="B2043" s="24" t="s">
        <v>2423</v>
      </c>
      <c r="C2043" s="27" t="s">
        <v>2427</v>
      </c>
      <c r="D2043" s="54"/>
      <c r="E2043" s="39" t="str">
        <f>HYPERLINK("https://www.google.ru/search?q=6009836-498&amp;newwindow=1&amp;tbm=isch","Еще фото")</f>
        <v>Еще фото</v>
      </c>
      <c r="F2043" s="13"/>
      <c r="G2043" s="24" t="s">
        <v>2202</v>
      </c>
      <c r="H2043" s="24" t="s">
        <v>27</v>
      </c>
      <c r="I2043" s="24" t="s">
        <v>2190</v>
      </c>
      <c r="J2043" s="14" t="s">
        <v>47</v>
      </c>
      <c r="K2043" s="15" t="s">
        <v>54</v>
      </c>
      <c r="L2043" s="57"/>
      <c r="M2043" s="14"/>
      <c r="N2043" s="14" t="s">
        <v>91</v>
      </c>
      <c r="O2043" s="14"/>
      <c r="P2043" s="15" t="s">
        <v>100</v>
      </c>
      <c r="Q2043" s="16">
        <v>7299</v>
      </c>
      <c r="R2043" s="17">
        <v>43</v>
      </c>
      <c r="S2043" s="18">
        <v>4784.4944999999998</v>
      </c>
      <c r="T2043" s="19" t="s">
        <v>36</v>
      </c>
      <c r="U2043" s="20" t="s">
        <v>128</v>
      </c>
      <c r="V2043" s="21" t="s">
        <v>129</v>
      </c>
      <c r="W2043" s="22">
        <v>4</v>
      </c>
      <c r="X2043" s="23"/>
    </row>
    <row r="2044" spans="1:24" s="1" customFormat="1" ht="21" customHeight="1" x14ac:dyDescent="0.3">
      <c r="A2044" s="24" t="s">
        <v>23</v>
      </c>
      <c r="B2044" s="24" t="s">
        <v>2423</v>
      </c>
      <c r="C2044" s="27" t="s">
        <v>2427</v>
      </c>
      <c r="D2044" s="54"/>
      <c r="E2044" s="39" t="str">
        <f>HYPERLINK("https://www.google.ru/search?q=6009836-498&amp;newwindow=1&amp;tbm=isch","Еще фото")</f>
        <v>Еще фото</v>
      </c>
      <c r="F2044" s="13"/>
      <c r="G2044" s="24" t="s">
        <v>2202</v>
      </c>
      <c r="H2044" s="24" t="s">
        <v>27</v>
      </c>
      <c r="I2044" s="24" t="s">
        <v>2190</v>
      </c>
      <c r="J2044" s="14" t="s">
        <v>47</v>
      </c>
      <c r="K2044" s="15" t="s">
        <v>54</v>
      </c>
      <c r="L2044" s="57"/>
      <c r="M2044" s="14"/>
      <c r="N2044" s="14" t="s">
        <v>91</v>
      </c>
      <c r="O2044" s="14"/>
      <c r="P2044" s="15" t="s">
        <v>100</v>
      </c>
      <c r="Q2044" s="16">
        <v>7299</v>
      </c>
      <c r="R2044" s="17">
        <v>43</v>
      </c>
      <c r="S2044" s="18">
        <v>4784.4944999999998</v>
      </c>
      <c r="T2044" s="19" t="s">
        <v>36</v>
      </c>
      <c r="U2044" s="20" t="s">
        <v>59</v>
      </c>
      <c r="V2044" s="21" t="s">
        <v>60</v>
      </c>
      <c r="W2044" s="22">
        <v>7</v>
      </c>
      <c r="X2044" s="23"/>
    </row>
    <row r="2045" spans="1:24" s="1" customFormat="1" ht="32.1" customHeight="1" x14ac:dyDescent="0.3">
      <c r="A2045" s="24" t="s">
        <v>23</v>
      </c>
      <c r="B2045" s="24" t="s">
        <v>2423</v>
      </c>
      <c r="C2045" s="27" t="s">
        <v>2427</v>
      </c>
      <c r="D2045" s="55"/>
      <c r="E2045" s="39" t="str">
        <f>HYPERLINK("https://www.google.ru/search?q=6009836-498&amp;newwindow=1&amp;tbm=isch","Еще фото")</f>
        <v>Еще фото</v>
      </c>
      <c r="F2045" s="13"/>
      <c r="G2045" s="24" t="s">
        <v>2202</v>
      </c>
      <c r="H2045" s="24" t="s">
        <v>27</v>
      </c>
      <c r="I2045" s="24" t="s">
        <v>2190</v>
      </c>
      <c r="J2045" s="14" t="s">
        <v>47</v>
      </c>
      <c r="K2045" s="15" t="s">
        <v>54</v>
      </c>
      <c r="L2045" s="58"/>
      <c r="M2045" s="14"/>
      <c r="N2045" s="14" t="s">
        <v>91</v>
      </c>
      <c r="O2045" s="14"/>
      <c r="P2045" s="15" t="s">
        <v>100</v>
      </c>
      <c r="Q2045" s="16">
        <v>7299</v>
      </c>
      <c r="R2045" s="17">
        <v>43</v>
      </c>
      <c r="S2045" s="18">
        <v>4784.4944999999998</v>
      </c>
      <c r="T2045" s="19" t="s">
        <v>36</v>
      </c>
      <c r="U2045" s="20" t="s">
        <v>130</v>
      </c>
      <c r="V2045" s="21" t="s">
        <v>131</v>
      </c>
      <c r="W2045" s="22">
        <v>4</v>
      </c>
      <c r="X2045" s="23"/>
    </row>
    <row r="2046" spans="1:24" s="1" customFormat="1" ht="108" customHeight="1" x14ac:dyDescent="0.3">
      <c r="A2046" s="11" t="s">
        <v>23</v>
      </c>
      <c r="B2046" s="11" t="s">
        <v>2428</v>
      </c>
      <c r="C2046" s="12" t="s">
        <v>2429</v>
      </c>
      <c r="D2046" s="25"/>
      <c r="E2046" s="39" t="str">
        <f>HYPERLINK("https://www.google.ru/search?q=1320977-890&amp;newwindow=1&amp;tbm=isch","Еще фото")</f>
        <v>Еще фото</v>
      </c>
      <c r="F2046" s="13" t="s">
        <v>98</v>
      </c>
      <c r="G2046" s="11" t="s">
        <v>643</v>
      </c>
      <c r="H2046" s="11" t="s">
        <v>27</v>
      </c>
      <c r="I2046" s="14" t="s">
        <v>2190</v>
      </c>
      <c r="J2046" s="14" t="s">
        <v>29</v>
      </c>
      <c r="K2046" s="15" t="s">
        <v>30</v>
      </c>
      <c r="L2046" s="14" t="s">
        <v>2365</v>
      </c>
      <c r="M2046" s="14" t="s">
        <v>256</v>
      </c>
      <c r="N2046" s="14" t="s">
        <v>140</v>
      </c>
      <c r="O2046" s="14" t="s">
        <v>34</v>
      </c>
      <c r="P2046" s="15" t="s">
        <v>2430</v>
      </c>
      <c r="Q2046" s="16">
        <v>10699</v>
      </c>
      <c r="R2046" s="17">
        <v>40</v>
      </c>
      <c r="S2046" s="18">
        <v>7382.3099999999986</v>
      </c>
      <c r="T2046" s="19" t="s">
        <v>36</v>
      </c>
      <c r="U2046" s="20" t="s">
        <v>41</v>
      </c>
      <c r="V2046" s="21" t="s">
        <v>42</v>
      </c>
      <c r="W2046" s="22">
        <v>1</v>
      </c>
      <c r="X2046" s="23"/>
    </row>
    <row r="2047" spans="1:24" s="1" customFormat="1" ht="108" customHeight="1" x14ac:dyDescent="0.3">
      <c r="A2047" s="11" t="s">
        <v>23</v>
      </c>
      <c r="B2047" s="11" t="s">
        <v>2431</v>
      </c>
      <c r="C2047" s="12" t="s">
        <v>2432</v>
      </c>
      <c r="D2047" s="25"/>
      <c r="E2047" s="39" t="str">
        <f>HYPERLINK("https://www.google.ru/search?q=1328495-090&amp;newwindow=1&amp;tbm=isch","Еще фото")</f>
        <v>Еще фото</v>
      </c>
      <c r="F2047" s="13" t="s">
        <v>98</v>
      </c>
      <c r="G2047" s="11" t="s">
        <v>2189</v>
      </c>
      <c r="H2047" s="11" t="s">
        <v>27</v>
      </c>
      <c r="I2047" s="14" t="s">
        <v>2190</v>
      </c>
      <c r="J2047" s="14" t="s">
        <v>29</v>
      </c>
      <c r="K2047" s="15" t="s">
        <v>30</v>
      </c>
      <c r="L2047" s="14" t="s">
        <v>2433</v>
      </c>
      <c r="M2047" s="14" t="s">
        <v>2434</v>
      </c>
      <c r="N2047" s="14" t="s">
        <v>84</v>
      </c>
      <c r="O2047" s="14"/>
      <c r="P2047" s="15" t="s">
        <v>133</v>
      </c>
      <c r="Q2047" s="16">
        <v>4599</v>
      </c>
      <c r="R2047" s="17">
        <v>40</v>
      </c>
      <c r="S2047" s="18">
        <v>3173.31</v>
      </c>
      <c r="T2047" s="19" t="s">
        <v>36</v>
      </c>
      <c r="U2047" s="20" t="s">
        <v>37</v>
      </c>
      <c r="V2047" s="21" t="s">
        <v>38</v>
      </c>
      <c r="W2047" s="22">
        <v>1</v>
      </c>
      <c r="X2047" s="23"/>
    </row>
    <row r="2048" spans="1:24" s="1" customFormat="1" ht="108" customHeight="1" x14ac:dyDescent="0.3">
      <c r="A2048" s="11" t="s">
        <v>23</v>
      </c>
      <c r="B2048" s="11" t="s">
        <v>2431</v>
      </c>
      <c r="C2048" s="12" t="s">
        <v>2435</v>
      </c>
      <c r="D2048" s="25"/>
      <c r="E2048" s="39" t="str">
        <f>HYPERLINK("https://www.google.ru/search?q=1328495-392&amp;newwindow=1&amp;tbm=isch","Еще фото")</f>
        <v>Еще фото</v>
      </c>
      <c r="F2048" s="13"/>
      <c r="G2048" s="11" t="s">
        <v>2189</v>
      </c>
      <c r="H2048" s="11" t="s">
        <v>27</v>
      </c>
      <c r="I2048" s="14" t="s">
        <v>2190</v>
      </c>
      <c r="J2048" s="14" t="s">
        <v>29</v>
      </c>
      <c r="K2048" s="15" t="s">
        <v>30</v>
      </c>
      <c r="L2048" s="14" t="s">
        <v>2436</v>
      </c>
      <c r="M2048" s="14" t="s">
        <v>2434</v>
      </c>
      <c r="N2048" s="14" t="s">
        <v>125</v>
      </c>
      <c r="O2048" s="14"/>
      <c r="P2048" s="15" t="s">
        <v>133</v>
      </c>
      <c r="Q2048" s="16">
        <v>4199</v>
      </c>
      <c r="R2048" s="17">
        <v>40</v>
      </c>
      <c r="S2048" s="18">
        <v>2897.31</v>
      </c>
      <c r="T2048" s="19" t="s">
        <v>36</v>
      </c>
      <c r="U2048" s="20" t="s">
        <v>39</v>
      </c>
      <c r="V2048" s="21" t="s">
        <v>40</v>
      </c>
      <c r="W2048" s="22">
        <v>3</v>
      </c>
      <c r="X2048" s="23"/>
    </row>
    <row r="2049" spans="1:24" s="1" customFormat="1" ht="108" customHeight="1" x14ac:dyDescent="0.3">
      <c r="A2049" s="11" t="s">
        <v>23</v>
      </c>
      <c r="B2049" s="11" t="s">
        <v>2437</v>
      </c>
      <c r="C2049" s="12" t="s">
        <v>2438</v>
      </c>
      <c r="D2049" s="25"/>
      <c r="E2049" s="39" t="str">
        <f>HYPERLINK("https://www.google.ru/search?q=1329293-011&amp;newwindow=1&amp;tbm=isch","Еще фото")</f>
        <v>Еще фото</v>
      </c>
      <c r="F2049" s="13"/>
      <c r="G2049" s="11" t="s">
        <v>2342</v>
      </c>
      <c r="H2049" s="11" t="s">
        <v>27</v>
      </c>
      <c r="I2049" s="14" t="s">
        <v>2190</v>
      </c>
      <c r="J2049" s="14" t="s">
        <v>29</v>
      </c>
      <c r="K2049" s="15" t="s">
        <v>30</v>
      </c>
      <c r="L2049" s="14" t="s">
        <v>2439</v>
      </c>
      <c r="M2049" s="14"/>
      <c r="N2049" s="14" t="s">
        <v>84</v>
      </c>
      <c r="O2049" s="14"/>
      <c r="P2049" s="15" t="s">
        <v>51</v>
      </c>
      <c r="Q2049" s="16">
        <v>5499</v>
      </c>
      <c r="R2049" s="17">
        <v>40</v>
      </c>
      <c r="S2049" s="18">
        <v>3794.31</v>
      </c>
      <c r="T2049" s="19" t="s">
        <v>36</v>
      </c>
      <c r="U2049" s="20" t="s">
        <v>41</v>
      </c>
      <c r="V2049" s="21" t="s">
        <v>42</v>
      </c>
      <c r="W2049" s="22">
        <v>7</v>
      </c>
      <c r="X2049" s="23"/>
    </row>
    <row r="2050" spans="1:24" s="1" customFormat="1" ht="35.1" customHeight="1" x14ac:dyDescent="0.3">
      <c r="A2050" s="11" t="s">
        <v>23</v>
      </c>
      <c r="B2050" s="11" t="s">
        <v>2437</v>
      </c>
      <c r="C2050" s="12" t="s">
        <v>2440</v>
      </c>
      <c r="D2050" s="53"/>
      <c r="E2050" s="39" t="str">
        <f>HYPERLINK("https://www.google.ru/search?q=1329293-390&amp;newwindow=1&amp;tbm=isch","Еще фото")</f>
        <v>Еще фото</v>
      </c>
      <c r="F2050" s="13"/>
      <c r="G2050" s="11" t="s">
        <v>2342</v>
      </c>
      <c r="H2050" s="11" t="s">
        <v>27</v>
      </c>
      <c r="I2050" s="14" t="s">
        <v>2190</v>
      </c>
      <c r="J2050" s="14" t="s">
        <v>29</v>
      </c>
      <c r="K2050" s="15" t="s">
        <v>30</v>
      </c>
      <c r="L2050" s="56" t="s">
        <v>2439</v>
      </c>
      <c r="M2050" s="14" t="s">
        <v>49</v>
      </c>
      <c r="N2050" s="14" t="s">
        <v>125</v>
      </c>
      <c r="O2050" s="14" t="s">
        <v>34</v>
      </c>
      <c r="P2050" s="15" t="s">
        <v>51</v>
      </c>
      <c r="Q2050" s="16">
        <v>5799</v>
      </c>
      <c r="R2050" s="17">
        <v>40</v>
      </c>
      <c r="S2050" s="18">
        <v>4001.31</v>
      </c>
      <c r="T2050" s="19" t="s">
        <v>36</v>
      </c>
      <c r="U2050" s="20" t="s">
        <v>37</v>
      </c>
      <c r="V2050" s="21" t="s">
        <v>38</v>
      </c>
      <c r="W2050" s="22">
        <v>1</v>
      </c>
      <c r="X2050" s="23"/>
    </row>
    <row r="2051" spans="1:24" s="1" customFormat="1" ht="35.1" customHeight="1" x14ac:dyDescent="0.3">
      <c r="A2051" s="24" t="s">
        <v>23</v>
      </c>
      <c r="B2051" s="24" t="s">
        <v>2437</v>
      </c>
      <c r="C2051" s="12" t="s">
        <v>2440</v>
      </c>
      <c r="D2051" s="54"/>
      <c r="E2051" s="39" t="str">
        <f>HYPERLINK("https://www.google.ru/search?q=1329293-390&amp;newwindow=1&amp;tbm=isch","Еще фото")</f>
        <v>Еще фото</v>
      </c>
      <c r="F2051" s="13"/>
      <c r="G2051" s="24" t="s">
        <v>2342</v>
      </c>
      <c r="H2051" s="24" t="s">
        <v>27</v>
      </c>
      <c r="I2051" s="24" t="s">
        <v>2190</v>
      </c>
      <c r="J2051" s="14" t="s">
        <v>29</v>
      </c>
      <c r="K2051" s="15" t="s">
        <v>30</v>
      </c>
      <c r="L2051" s="57"/>
      <c r="M2051" s="14" t="s">
        <v>49</v>
      </c>
      <c r="N2051" s="14" t="s">
        <v>125</v>
      </c>
      <c r="O2051" s="14" t="s">
        <v>34</v>
      </c>
      <c r="P2051" s="15" t="s">
        <v>51</v>
      </c>
      <c r="Q2051" s="16">
        <v>5799</v>
      </c>
      <c r="R2051" s="17">
        <v>40</v>
      </c>
      <c r="S2051" s="18">
        <v>4001.31</v>
      </c>
      <c r="T2051" s="19" t="s">
        <v>36</v>
      </c>
      <c r="U2051" s="20" t="s">
        <v>39</v>
      </c>
      <c r="V2051" s="21" t="s">
        <v>40</v>
      </c>
      <c r="W2051" s="22">
        <v>6</v>
      </c>
      <c r="X2051" s="23"/>
    </row>
    <row r="2052" spans="1:24" s="1" customFormat="1" ht="36.950000000000003" customHeight="1" x14ac:dyDescent="0.3">
      <c r="A2052" s="24" t="s">
        <v>23</v>
      </c>
      <c r="B2052" s="24" t="s">
        <v>2437</v>
      </c>
      <c r="C2052" s="12" t="s">
        <v>2440</v>
      </c>
      <c r="D2052" s="55"/>
      <c r="E2052" s="39" t="str">
        <f>HYPERLINK("https://www.google.ru/search?q=1329293-390&amp;newwindow=1&amp;tbm=isch","Еще фото")</f>
        <v>Еще фото</v>
      </c>
      <c r="F2052" s="13"/>
      <c r="G2052" s="24" t="s">
        <v>2342</v>
      </c>
      <c r="H2052" s="24" t="s">
        <v>27</v>
      </c>
      <c r="I2052" s="24" t="s">
        <v>2190</v>
      </c>
      <c r="J2052" s="14" t="s">
        <v>29</v>
      </c>
      <c r="K2052" s="15" t="s">
        <v>30</v>
      </c>
      <c r="L2052" s="58"/>
      <c r="M2052" s="14" t="s">
        <v>49</v>
      </c>
      <c r="N2052" s="14" t="s">
        <v>125</v>
      </c>
      <c r="O2052" s="14" t="s">
        <v>34</v>
      </c>
      <c r="P2052" s="15" t="s">
        <v>51</v>
      </c>
      <c r="Q2052" s="16">
        <v>5799</v>
      </c>
      <c r="R2052" s="17">
        <v>40</v>
      </c>
      <c r="S2052" s="18">
        <v>4001.31</v>
      </c>
      <c r="T2052" s="19" t="s">
        <v>36</v>
      </c>
      <c r="U2052" s="20" t="s">
        <v>41</v>
      </c>
      <c r="V2052" s="21" t="s">
        <v>42</v>
      </c>
      <c r="W2052" s="22">
        <v>3</v>
      </c>
      <c r="X2052" s="23"/>
    </row>
    <row r="2053" spans="1:24" s="1" customFormat="1" ht="21" customHeight="1" x14ac:dyDescent="0.3">
      <c r="A2053" s="11" t="s">
        <v>23</v>
      </c>
      <c r="B2053" s="11" t="s">
        <v>2295</v>
      </c>
      <c r="C2053" s="26" t="s">
        <v>2441</v>
      </c>
      <c r="D2053" s="53"/>
      <c r="E2053" s="39" t="str">
        <f>HYPERLINK("https://www.google.ru/search?q=1356317-001&amp;newwindow=1&amp;tbm=isch","Еще фото")</f>
        <v>Еще фото</v>
      </c>
      <c r="F2053" s="13"/>
      <c r="G2053" s="11" t="s">
        <v>2198</v>
      </c>
      <c r="H2053" s="11" t="s">
        <v>27</v>
      </c>
      <c r="I2053" s="14" t="s">
        <v>2190</v>
      </c>
      <c r="J2053" s="14" t="s">
        <v>29</v>
      </c>
      <c r="K2053" s="15" t="s">
        <v>64</v>
      </c>
      <c r="L2053" s="56" t="s">
        <v>2442</v>
      </c>
      <c r="M2053" s="14" t="s">
        <v>56</v>
      </c>
      <c r="N2053" s="14" t="s">
        <v>33</v>
      </c>
      <c r="O2053" s="14" t="s">
        <v>34</v>
      </c>
      <c r="P2053" s="15" t="s">
        <v>113</v>
      </c>
      <c r="Q2053" s="16">
        <v>6799</v>
      </c>
      <c r="R2053" s="17">
        <v>40</v>
      </c>
      <c r="S2053" s="18">
        <v>4691.3099999999995</v>
      </c>
      <c r="T2053" s="19" t="s">
        <v>36</v>
      </c>
      <c r="U2053" s="20" t="s">
        <v>69</v>
      </c>
      <c r="V2053" s="21" t="s">
        <v>70</v>
      </c>
      <c r="W2053" s="22">
        <v>3</v>
      </c>
      <c r="X2053" s="23"/>
    </row>
    <row r="2054" spans="1:24" s="1" customFormat="1" ht="21" customHeight="1" x14ac:dyDescent="0.3">
      <c r="A2054" s="24" t="s">
        <v>23</v>
      </c>
      <c r="B2054" s="24" t="s">
        <v>2295</v>
      </c>
      <c r="C2054" s="27" t="s">
        <v>2441</v>
      </c>
      <c r="D2054" s="54"/>
      <c r="E2054" s="39" t="str">
        <f>HYPERLINK("https://www.google.ru/search?q=1356317-001&amp;newwindow=1&amp;tbm=isch","Еще фото")</f>
        <v>Еще фото</v>
      </c>
      <c r="F2054" s="13"/>
      <c r="G2054" s="24" t="s">
        <v>2198</v>
      </c>
      <c r="H2054" s="24" t="s">
        <v>27</v>
      </c>
      <c r="I2054" s="24" t="s">
        <v>2190</v>
      </c>
      <c r="J2054" s="14" t="s">
        <v>29</v>
      </c>
      <c r="K2054" s="15" t="s">
        <v>64</v>
      </c>
      <c r="L2054" s="57"/>
      <c r="M2054" s="14" t="s">
        <v>56</v>
      </c>
      <c r="N2054" s="14" t="s">
        <v>33</v>
      </c>
      <c r="O2054" s="14" t="s">
        <v>34</v>
      </c>
      <c r="P2054" s="15" t="s">
        <v>113</v>
      </c>
      <c r="Q2054" s="16">
        <v>6799</v>
      </c>
      <c r="R2054" s="17">
        <v>40</v>
      </c>
      <c r="S2054" s="18">
        <v>4691.3099999999995</v>
      </c>
      <c r="T2054" s="19" t="s">
        <v>36</v>
      </c>
      <c r="U2054" s="20" t="s">
        <v>37</v>
      </c>
      <c r="V2054" s="21" t="s">
        <v>86</v>
      </c>
      <c r="W2054" s="22">
        <v>9</v>
      </c>
      <c r="X2054" s="23"/>
    </row>
    <row r="2055" spans="1:24" s="1" customFormat="1" ht="21" customHeight="1" x14ac:dyDescent="0.3">
      <c r="A2055" s="24" t="s">
        <v>23</v>
      </c>
      <c r="B2055" s="24" t="s">
        <v>2295</v>
      </c>
      <c r="C2055" s="27" t="s">
        <v>2441</v>
      </c>
      <c r="D2055" s="54"/>
      <c r="E2055" s="39" t="str">
        <f>HYPERLINK("https://www.google.ru/search?q=1356317-001&amp;newwindow=1&amp;tbm=isch","Еще фото")</f>
        <v>Еще фото</v>
      </c>
      <c r="F2055" s="13"/>
      <c r="G2055" s="24" t="s">
        <v>2198</v>
      </c>
      <c r="H2055" s="24" t="s">
        <v>27</v>
      </c>
      <c r="I2055" s="24" t="s">
        <v>2190</v>
      </c>
      <c r="J2055" s="14" t="s">
        <v>29</v>
      </c>
      <c r="K2055" s="15" t="s">
        <v>64</v>
      </c>
      <c r="L2055" s="57"/>
      <c r="M2055" s="14" t="s">
        <v>56</v>
      </c>
      <c r="N2055" s="14" t="s">
        <v>33</v>
      </c>
      <c r="O2055" s="14" t="s">
        <v>34</v>
      </c>
      <c r="P2055" s="15" t="s">
        <v>113</v>
      </c>
      <c r="Q2055" s="16">
        <v>6799</v>
      </c>
      <c r="R2055" s="17">
        <v>40</v>
      </c>
      <c r="S2055" s="18">
        <v>4691.3099999999995</v>
      </c>
      <c r="T2055" s="19" t="s">
        <v>36</v>
      </c>
      <c r="U2055" s="20" t="s">
        <v>39</v>
      </c>
      <c r="V2055" s="21" t="s">
        <v>38</v>
      </c>
      <c r="W2055" s="22">
        <v>5</v>
      </c>
      <c r="X2055" s="23"/>
    </row>
    <row r="2056" spans="1:24" s="1" customFormat="1" ht="21" customHeight="1" x14ac:dyDescent="0.3">
      <c r="A2056" s="24" t="s">
        <v>23</v>
      </c>
      <c r="B2056" s="24" t="s">
        <v>2295</v>
      </c>
      <c r="C2056" s="27" t="s">
        <v>2441</v>
      </c>
      <c r="D2056" s="54"/>
      <c r="E2056" s="39" t="str">
        <f>HYPERLINK("https://www.google.ru/search?q=1356317-001&amp;newwindow=1&amp;tbm=isch","Еще фото")</f>
        <v>Еще фото</v>
      </c>
      <c r="F2056" s="13"/>
      <c r="G2056" s="24" t="s">
        <v>2198</v>
      </c>
      <c r="H2056" s="24" t="s">
        <v>27</v>
      </c>
      <c r="I2056" s="24" t="s">
        <v>2190</v>
      </c>
      <c r="J2056" s="14" t="s">
        <v>29</v>
      </c>
      <c r="K2056" s="15" t="s">
        <v>64</v>
      </c>
      <c r="L2056" s="57"/>
      <c r="M2056" s="14" t="s">
        <v>56</v>
      </c>
      <c r="N2056" s="14" t="s">
        <v>33</v>
      </c>
      <c r="O2056" s="14" t="s">
        <v>34</v>
      </c>
      <c r="P2056" s="15" t="s">
        <v>113</v>
      </c>
      <c r="Q2056" s="16">
        <v>6799</v>
      </c>
      <c r="R2056" s="17">
        <v>40</v>
      </c>
      <c r="S2056" s="18">
        <v>4691.3099999999995</v>
      </c>
      <c r="T2056" s="19" t="s">
        <v>36</v>
      </c>
      <c r="U2056" s="20" t="s">
        <v>41</v>
      </c>
      <c r="V2056" s="21" t="s">
        <v>40</v>
      </c>
      <c r="W2056" s="22">
        <v>3</v>
      </c>
      <c r="X2056" s="23"/>
    </row>
    <row r="2057" spans="1:24" s="1" customFormat="1" ht="32.1" customHeight="1" x14ac:dyDescent="0.3">
      <c r="A2057" s="24" t="s">
        <v>23</v>
      </c>
      <c r="B2057" s="24" t="s">
        <v>2295</v>
      </c>
      <c r="C2057" s="27" t="s">
        <v>2441</v>
      </c>
      <c r="D2057" s="55"/>
      <c r="E2057" s="39" t="str">
        <f>HYPERLINK("https://www.google.ru/search?q=1356317-001&amp;newwindow=1&amp;tbm=isch","Еще фото")</f>
        <v>Еще фото</v>
      </c>
      <c r="F2057" s="13"/>
      <c r="G2057" s="24" t="s">
        <v>2198</v>
      </c>
      <c r="H2057" s="24" t="s">
        <v>27</v>
      </c>
      <c r="I2057" s="24" t="s">
        <v>2190</v>
      </c>
      <c r="J2057" s="14" t="s">
        <v>29</v>
      </c>
      <c r="K2057" s="15" t="s">
        <v>64</v>
      </c>
      <c r="L2057" s="58"/>
      <c r="M2057" s="14" t="s">
        <v>56</v>
      </c>
      <c r="N2057" s="14" t="s">
        <v>33</v>
      </c>
      <c r="O2057" s="14" t="s">
        <v>34</v>
      </c>
      <c r="P2057" s="15" t="s">
        <v>113</v>
      </c>
      <c r="Q2057" s="16">
        <v>6799</v>
      </c>
      <c r="R2057" s="17">
        <v>40</v>
      </c>
      <c r="S2057" s="18">
        <v>4691.3099999999995</v>
      </c>
      <c r="T2057" s="19" t="s">
        <v>36</v>
      </c>
      <c r="U2057" s="20" t="s">
        <v>43</v>
      </c>
      <c r="V2057" s="21" t="s">
        <v>42</v>
      </c>
      <c r="W2057" s="22">
        <v>1</v>
      </c>
      <c r="X2057" s="23"/>
    </row>
    <row r="2058" spans="1:24" s="1" customFormat="1" ht="26.1" customHeight="1" x14ac:dyDescent="0.3">
      <c r="A2058" s="11" t="s">
        <v>23</v>
      </c>
      <c r="B2058" s="11" t="s">
        <v>2443</v>
      </c>
      <c r="C2058" s="12" t="s">
        <v>2444</v>
      </c>
      <c r="D2058" s="53"/>
      <c r="E2058" s="39" t="str">
        <f>HYPERLINK("https://www.google.ru/search?q=1357093-011&amp;newwindow=1&amp;tbm=isch","Еще фото")</f>
        <v>Еще фото</v>
      </c>
      <c r="F2058" s="13" t="s">
        <v>98</v>
      </c>
      <c r="G2058" s="11" t="s">
        <v>2198</v>
      </c>
      <c r="H2058" s="11" t="s">
        <v>27</v>
      </c>
      <c r="I2058" s="14" t="s">
        <v>2190</v>
      </c>
      <c r="J2058" s="14" t="s">
        <v>29</v>
      </c>
      <c r="K2058" s="15" t="s">
        <v>30</v>
      </c>
      <c r="L2058" s="56" t="s">
        <v>2445</v>
      </c>
      <c r="M2058" s="14" t="s">
        <v>56</v>
      </c>
      <c r="N2058" s="14" t="s">
        <v>84</v>
      </c>
      <c r="O2058" s="14" t="s">
        <v>34</v>
      </c>
      <c r="P2058" s="15" t="s">
        <v>113</v>
      </c>
      <c r="Q2058" s="16">
        <v>6799</v>
      </c>
      <c r="R2058" s="17">
        <v>40</v>
      </c>
      <c r="S2058" s="18">
        <v>4691.3099999999995</v>
      </c>
      <c r="T2058" s="19" t="s">
        <v>36</v>
      </c>
      <c r="U2058" s="20" t="s">
        <v>39</v>
      </c>
      <c r="V2058" s="21" t="s">
        <v>40</v>
      </c>
      <c r="W2058" s="22">
        <v>5</v>
      </c>
      <c r="X2058" s="23"/>
    </row>
    <row r="2059" spans="1:24" s="1" customFormat="1" ht="26.1" customHeight="1" x14ac:dyDescent="0.3">
      <c r="A2059" s="24" t="s">
        <v>23</v>
      </c>
      <c r="B2059" s="24" t="s">
        <v>2443</v>
      </c>
      <c r="C2059" s="12" t="s">
        <v>2444</v>
      </c>
      <c r="D2059" s="54"/>
      <c r="E2059" s="39" t="str">
        <f>HYPERLINK("https://www.google.ru/search?q=1357093-011&amp;newwindow=1&amp;tbm=isch","Еще фото")</f>
        <v>Еще фото</v>
      </c>
      <c r="F2059" s="13" t="s">
        <v>98</v>
      </c>
      <c r="G2059" s="24" t="s">
        <v>2198</v>
      </c>
      <c r="H2059" s="24" t="s">
        <v>27</v>
      </c>
      <c r="I2059" s="24" t="s">
        <v>2190</v>
      </c>
      <c r="J2059" s="14" t="s">
        <v>29</v>
      </c>
      <c r="K2059" s="15" t="s">
        <v>30</v>
      </c>
      <c r="L2059" s="57"/>
      <c r="M2059" s="14" t="s">
        <v>56</v>
      </c>
      <c r="N2059" s="14" t="s">
        <v>84</v>
      </c>
      <c r="O2059" s="14" t="s">
        <v>34</v>
      </c>
      <c r="P2059" s="15" t="s">
        <v>113</v>
      </c>
      <c r="Q2059" s="16">
        <v>6799</v>
      </c>
      <c r="R2059" s="17">
        <v>40</v>
      </c>
      <c r="S2059" s="18">
        <v>4691.3099999999995</v>
      </c>
      <c r="T2059" s="19" t="s">
        <v>36</v>
      </c>
      <c r="U2059" s="20" t="s">
        <v>41</v>
      </c>
      <c r="V2059" s="21" t="s">
        <v>42</v>
      </c>
      <c r="W2059" s="22">
        <v>1</v>
      </c>
      <c r="X2059" s="23"/>
    </row>
    <row r="2060" spans="1:24" s="1" customFormat="1" ht="26.1" customHeight="1" x14ac:dyDescent="0.3">
      <c r="A2060" s="24" t="s">
        <v>23</v>
      </c>
      <c r="B2060" s="24" t="s">
        <v>2443</v>
      </c>
      <c r="C2060" s="12" t="s">
        <v>2444</v>
      </c>
      <c r="D2060" s="54"/>
      <c r="E2060" s="39" t="str">
        <f>HYPERLINK("https://www.google.ru/search?q=1357093-011&amp;newwindow=1&amp;tbm=isch","Еще фото")</f>
        <v>Еще фото</v>
      </c>
      <c r="F2060" s="13" t="s">
        <v>98</v>
      </c>
      <c r="G2060" s="24" t="s">
        <v>2198</v>
      </c>
      <c r="H2060" s="24" t="s">
        <v>27</v>
      </c>
      <c r="I2060" s="24" t="s">
        <v>2190</v>
      </c>
      <c r="J2060" s="14" t="s">
        <v>29</v>
      </c>
      <c r="K2060" s="15" t="s">
        <v>30</v>
      </c>
      <c r="L2060" s="57"/>
      <c r="M2060" s="14" t="s">
        <v>56</v>
      </c>
      <c r="N2060" s="14" t="s">
        <v>84</v>
      </c>
      <c r="O2060" s="14" t="s">
        <v>34</v>
      </c>
      <c r="P2060" s="15" t="s">
        <v>113</v>
      </c>
      <c r="Q2060" s="16">
        <v>6799</v>
      </c>
      <c r="R2060" s="17">
        <v>40</v>
      </c>
      <c r="S2060" s="18">
        <v>4691.3099999999995</v>
      </c>
      <c r="T2060" s="19" t="s">
        <v>36</v>
      </c>
      <c r="U2060" s="20" t="s">
        <v>43</v>
      </c>
      <c r="V2060" s="21" t="s">
        <v>44</v>
      </c>
      <c r="W2060" s="22">
        <v>5</v>
      </c>
      <c r="X2060" s="23"/>
    </row>
    <row r="2061" spans="1:24" s="1" customFormat="1" ht="26.1" customHeight="1" x14ac:dyDescent="0.3">
      <c r="A2061" s="24" t="s">
        <v>23</v>
      </c>
      <c r="B2061" s="24" t="s">
        <v>2443</v>
      </c>
      <c r="C2061" s="12" t="s">
        <v>2444</v>
      </c>
      <c r="D2061" s="55"/>
      <c r="E2061" s="39" t="str">
        <f>HYPERLINK("https://www.google.ru/search?q=1357093-011&amp;newwindow=1&amp;tbm=isch","Еще фото")</f>
        <v>Еще фото</v>
      </c>
      <c r="F2061" s="13" t="s">
        <v>98</v>
      </c>
      <c r="G2061" s="24" t="s">
        <v>2198</v>
      </c>
      <c r="H2061" s="24" t="s">
        <v>27</v>
      </c>
      <c r="I2061" s="24" t="s">
        <v>2190</v>
      </c>
      <c r="J2061" s="14" t="s">
        <v>29</v>
      </c>
      <c r="K2061" s="15" t="s">
        <v>30</v>
      </c>
      <c r="L2061" s="58"/>
      <c r="M2061" s="14" t="s">
        <v>56</v>
      </c>
      <c r="N2061" s="14" t="s">
        <v>84</v>
      </c>
      <c r="O2061" s="14" t="s">
        <v>34</v>
      </c>
      <c r="P2061" s="15" t="s">
        <v>113</v>
      </c>
      <c r="Q2061" s="16">
        <v>6799</v>
      </c>
      <c r="R2061" s="17">
        <v>40</v>
      </c>
      <c r="S2061" s="18">
        <v>4691.3099999999995</v>
      </c>
      <c r="T2061" s="19" t="s">
        <v>36</v>
      </c>
      <c r="U2061" s="20" t="s">
        <v>104</v>
      </c>
      <c r="V2061" s="21" t="s">
        <v>105</v>
      </c>
      <c r="W2061" s="22">
        <v>1</v>
      </c>
      <c r="X2061" s="23"/>
    </row>
    <row r="2062" spans="1:24" s="1" customFormat="1" ht="51.95" customHeight="1" x14ac:dyDescent="0.3">
      <c r="A2062" s="11" t="s">
        <v>23</v>
      </c>
      <c r="B2062" s="11" t="s">
        <v>2443</v>
      </c>
      <c r="C2062" s="12" t="s">
        <v>2446</v>
      </c>
      <c r="D2062" s="59"/>
      <c r="E2062" s="39" t="str">
        <f>HYPERLINK("https://www.google.ru/search?q=1357093-012&amp;newwindow=1&amp;tbm=isch","Еще фото")</f>
        <v>Еще фото</v>
      </c>
      <c r="F2062" s="13"/>
      <c r="G2062" s="11" t="s">
        <v>2198</v>
      </c>
      <c r="H2062" s="11" t="s">
        <v>27</v>
      </c>
      <c r="I2062" s="14" t="s">
        <v>2190</v>
      </c>
      <c r="J2062" s="14" t="s">
        <v>29</v>
      </c>
      <c r="K2062" s="15" t="s">
        <v>30</v>
      </c>
      <c r="L2062" s="56" t="s">
        <v>2445</v>
      </c>
      <c r="M2062" s="14" t="s">
        <v>56</v>
      </c>
      <c r="N2062" s="14" t="s">
        <v>84</v>
      </c>
      <c r="O2062" s="14" t="s">
        <v>34</v>
      </c>
      <c r="P2062" s="15" t="s">
        <v>113</v>
      </c>
      <c r="Q2062" s="16">
        <v>7599</v>
      </c>
      <c r="R2062" s="17">
        <v>40</v>
      </c>
      <c r="S2062" s="18">
        <v>5243.3099999999995</v>
      </c>
      <c r="T2062" s="19" t="s">
        <v>36</v>
      </c>
      <c r="U2062" s="20" t="s">
        <v>37</v>
      </c>
      <c r="V2062" s="21" t="s">
        <v>38</v>
      </c>
      <c r="W2062" s="22">
        <v>3</v>
      </c>
      <c r="X2062" s="23"/>
    </row>
    <row r="2063" spans="1:24" s="1" customFormat="1" ht="60.95" customHeight="1" x14ac:dyDescent="0.3">
      <c r="A2063" s="24" t="s">
        <v>23</v>
      </c>
      <c r="B2063" s="24" t="s">
        <v>2443</v>
      </c>
      <c r="C2063" s="12" t="s">
        <v>2446</v>
      </c>
      <c r="D2063" s="60"/>
      <c r="E2063" s="39" t="str">
        <f>HYPERLINK("https://www.google.ru/search?q=1357093-012&amp;newwindow=1&amp;tbm=isch","Еще фото")</f>
        <v>Еще фото</v>
      </c>
      <c r="F2063" s="13"/>
      <c r="G2063" s="24" t="s">
        <v>2198</v>
      </c>
      <c r="H2063" s="24" t="s">
        <v>27</v>
      </c>
      <c r="I2063" s="24" t="s">
        <v>2190</v>
      </c>
      <c r="J2063" s="14" t="s">
        <v>29</v>
      </c>
      <c r="K2063" s="15" t="s">
        <v>30</v>
      </c>
      <c r="L2063" s="58"/>
      <c r="M2063" s="14" t="s">
        <v>56</v>
      </c>
      <c r="N2063" s="14" t="s">
        <v>84</v>
      </c>
      <c r="O2063" s="14" t="s">
        <v>34</v>
      </c>
      <c r="P2063" s="15" t="s">
        <v>113</v>
      </c>
      <c r="Q2063" s="16">
        <v>7599</v>
      </c>
      <c r="R2063" s="17">
        <v>40</v>
      </c>
      <c r="S2063" s="18">
        <v>5243.3099999999995</v>
      </c>
      <c r="T2063" s="19" t="s">
        <v>36</v>
      </c>
      <c r="U2063" s="20" t="s">
        <v>104</v>
      </c>
      <c r="V2063" s="21" t="s">
        <v>105</v>
      </c>
      <c r="W2063" s="22">
        <v>1</v>
      </c>
      <c r="X2063" s="23"/>
    </row>
    <row r="2064" spans="1:24" s="1" customFormat="1" ht="108" customHeight="1" x14ac:dyDescent="0.3">
      <c r="A2064" s="11" t="s">
        <v>23</v>
      </c>
      <c r="B2064" s="11" t="s">
        <v>2443</v>
      </c>
      <c r="C2064" s="12" t="s">
        <v>2447</v>
      </c>
      <c r="D2064" s="25"/>
      <c r="E2064" s="39" t="str">
        <f>HYPERLINK("https://www.google.ru/search?q=1357093-176&amp;newwindow=1&amp;tbm=isch","Еще фото")</f>
        <v>Еще фото</v>
      </c>
      <c r="F2064" s="13"/>
      <c r="G2064" s="11" t="s">
        <v>2198</v>
      </c>
      <c r="H2064" s="11" t="s">
        <v>27</v>
      </c>
      <c r="I2064" s="14" t="s">
        <v>2190</v>
      </c>
      <c r="J2064" s="14" t="s">
        <v>29</v>
      </c>
      <c r="K2064" s="15" t="s">
        <v>30</v>
      </c>
      <c r="L2064" s="14" t="s">
        <v>2313</v>
      </c>
      <c r="M2064" s="14" t="s">
        <v>56</v>
      </c>
      <c r="N2064" s="14" t="s">
        <v>84</v>
      </c>
      <c r="O2064" s="14" t="s">
        <v>34</v>
      </c>
      <c r="P2064" s="15" t="s">
        <v>113</v>
      </c>
      <c r="Q2064" s="16">
        <v>7599</v>
      </c>
      <c r="R2064" s="17">
        <v>40</v>
      </c>
      <c r="S2064" s="18">
        <v>5243.3099999999995</v>
      </c>
      <c r="T2064" s="19" t="s">
        <v>36</v>
      </c>
      <c r="U2064" s="20" t="s">
        <v>39</v>
      </c>
      <c r="V2064" s="21" t="s">
        <v>40</v>
      </c>
      <c r="W2064" s="22">
        <v>4</v>
      </c>
      <c r="X2064" s="23"/>
    </row>
    <row r="2065" spans="1:24" s="1" customFormat="1" ht="26.1" customHeight="1" x14ac:dyDescent="0.3">
      <c r="A2065" s="11" t="s">
        <v>23</v>
      </c>
      <c r="B2065" s="11" t="s">
        <v>2443</v>
      </c>
      <c r="C2065" s="12" t="s">
        <v>2448</v>
      </c>
      <c r="D2065" s="53"/>
      <c r="E2065" s="39" t="str">
        <f>HYPERLINK("https://www.google.ru/search?q=1357093-410&amp;newwindow=1&amp;tbm=isch","Еще фото")</f>
        <v>Еще фото</v>
      </c>
      <c r="F2065" s="13"/>
      <c r="G2065" s="11" t="s">
        <v>2198</v>
      </c>
      <c r="H2065" s="11" t="s">
        <v>27</v>
      </c>
      <c r="I2065" s="14" t="s">
        <v>2190</v>
      </c>
      <c r="J2065" s="14" t="s">
        <v>29</v>
      </c>
      <c r="K2065" s="15" t="s">
        <v>30</v>
      </c>
      <c r="L2065" s="56" t="s">
        <v>2445</v>
      </c>
      <c r="M2065" s="14" t="s">
        <v>56</v>
      </c>
      <c r="N2065" s="14" t="s">
        <v>91</v>
      </c>
      <c r="O2065" s="14" t="s">
        <v>34</v>
      </c>
      <c r="P2065" s="15" t="s">
        <v>113</v>
      </c>
      <c r="Q2065" s="16">
        <v>7599</v>
      </c>
      <c r="R2065" s="17">
        <v>40</v>
      </c>
      <c r="S2065" s="18">
        <v>5243.3099999999995</v>
      </c>
      <c r="T2065" s="19" t="s">
        <v>36</v>
      </c>
      <c r="U2065" s="20" t="s">
        <v>37</v>
      </c>
      <c r="V2065" s="21" t="s">
        <v>38</v>
      </c>
      <c r="W2065" s="22">
        <v>6</v>
      </c>
      <c r="X2065" s="23"/>
    </row>
    <row r="2066" spans="1:24" s="1" customFormat="1" ht="26.1" customHeight="1" x14ac:dyDescent="0.3">
      <c r="A2066" s="24" t="s">
        <v>23</v>
      </c>
      <c r="B2066" s="24" t="s">
        <v>2443</v>
      </c>
      <c r="C2066" s="12" t="s">
        <v>2448</v>
      </c>
      <c r="D2066" s="54"/>
      <c r="E2066" s="39" t="str">
        <f>HYPERLINK("https://www.google.ru/search?q=1357093-410&amp;newwindow=1&amp;tbm=isch","Еще фото")</f>
        <v>Еще фото</v>
      </c>
      <c r="F2066" s="13"/>
      <c r="G2066" s="24" t="s">
        <v>2198</v>
      </c>
      <c r="H2066" s="24" t="s">
        <v>27</v>
      </c>
      <c r="I2066" s="24" t="s">
        <v>2190</v>
      </c>
      <c r="J2066" s="14" t="s">
        <v>29</v>
      </c>
      <c r="K2066" s="15" t="s">
        <v>30</v>
      </c>
      <c r="L2066" s="57"/>
      <c r="M2066" s="14" t="s">
        <v>56</v>
      </c>
      <c r="N2066" s="14" t="s">
        <v>91</v>
      </c>
      <c r="O2066" s="14" t="s">
        <v>34</v>
      </c>
      <c r="P2066" s="15" t="s">
        <v>113</v>
      </c>
      <c r="Q2066" s="16">
        <v>7599</v>
      </c>
      <c r="R2066" s="17">
        <v>40</v>
      </c>
      <c r="S2066" s="18">
        <v>5243.3099999999995</v>
      </c>
      <c r="T2066" s="19" t="s">
        <v>36</v>
      </c>
      <c r="U2066" s="20" t="s">
        <v>39</v>
      </c>
      <c r="V2066" s="21" t="s">
        <v>40</v>
      </c>
      <c r="W2066" s="22">
        <v>5</v>
      </c>
      <c r="X2066" s="23"/>
    </row>
    <row r="2067" spans="1:24" s="1" customFormat="1" ht="26.1" customHeight="1" x14ac:dyDescent="0.3">
      <c r="A2067" s="24" t="s">
        <v>23</v>
      </c>
      <c r="B2067" s="24" t="s">
        <v>2443</v>
      </c>
      <c r="C2067" s="12" t="s">
        <v>2448</v>
      </c>
      <c r="D2067" s="54"/>
      <c r="E2067" s="39" t="str">
        <f>HYPERLINK("https://www.google.ru/search?q=1357093-410&amp;newwindow=1&amp;tbm=isch","Еще фото")</f>
        <v>Еще фото</v>
      </c>
      <c r="F2067" s="13"/>
      <c r="G2067" s="24" t="s">
        <v>2198</v>
      </c>
      <c r="H2067" s="24" t="s">
        <v>27</v>
      </c>
      <c r="I2067" s="24" t="s">
        <v>2190</v>
      </c>
      <c r="J2067" s="14" t="s">
        <v>29</v>
      </c>
      <c r="K2067" s="15" t="s">
        <v>30</v>
      </c>
      <c r="L2067" s="57"/>
      <c r="M2067" s="14" t="s">
        <v>56</v>
      </c>
      <c r="N2067" s="14" t="s">
        <v>91</v>
      </c>
      <c r="O2067" s="14" t="s">
        <v>34</v>
      </c>
      <c r="P2067" s="15" t="s">
        <v>113</v>
      </c>
      <c r="Q2067" s="16">
        <v>7599</v>
      </c>
      <c r="R2067" s="17">
        <v>40</v>
      </c>
      <c r="S2067" s="18">
        <v>5243.3099999999995</v>
      </c>
      <c r="T2067" s="19" t="s">
        <v>36</v>
      </c>
      <c r="U2067" s="20" t="s">
        <v>41</v>
      </c>
      <c r="V2067" s="21" t="s">
        <v>42</v>
      </c>
      <c r="W2067" s="22">
        <v>1</v>
      </c>
      <c r="X2067" s="23"/>
    </row>
    <row r="2068" spans="1:24" s="1" customFormat="1" ht="26.1" customHeight="1" x14ac:dyDescent="0.3">
      <c r="A2068" s="24" t="s">
        <v>23</v>
      </c>
      <c r="B2068" s="24" t="s">
        <v>2443</v>
      </c>
      <c r="C2068" s="12" t="s">
        <v>2448</v>
      </c>
      <c r="D2068" s="55"/>
      <c r="E2068" s="39" t="str">
        <f>HYPERLINK("https://www.google.ru/search?q=1357093-410&amp;newwindow=1&amp;tbm=isch","Еще фото")</f>
        <v>Еще фото</v>
      </c>
      <c r="F2068" s="13"/>
      <c r="G2068" s="24" t="s">
        <v>2198</v>
      </c>
      <c r="H2068" s="24" t="s">
        <v>27</v>
      </c>
      <c r="I2068" s="24" t="s">
        <v>2190</v>
      </c>
      <c r="J2068" s="14" t="s">
        <v>29</v>
      </c>
      <c r="K2068" s="15" t="s">
        <v>30</v>
      </c>
      <c r="L2068" s="58"/>
      <c r="M2068" s="14" t="s">
        <v>56</v>
      </c>
      <c r="N2068" s="14" t="s">
        <v>91</v>
      </c>
      <c r="O2068" s="14" t="s">
        <v>34</v>
      </c>
      <c r="P2068" s="15" t="s">
        <v>113</v>
      </c>
      <c r="Q2068" s="16">
        <v>7599</v>
      </c>
      <c r="R2068" s="17">
        <v>40</v>
      </c>
      <c r="S2068" s="18">
        <v>5243.3099999999995</v>
      </c>
      <c r="T2068" s="19" t="s">
        <v>36</v>
      </c>
      <c r="U2068" s="20" t="s">
        <v>43</v>
      </c>
      <c r="V2068" s="21" t="s">
        <v>44</v>
      </c>
      <c r="W2068" s="22">
        <v>2</v>
      </c>
      <c r="X2068" s="23"/>
    </row>
    <row r="2069" spans="1:24" s="1" customFormat="1" ht="108" customHeight="1" x14ac:dyDescent="0.3">
      <c r="A2069" s="11" t="s">
        <v>23</v>
      </c>
      <c r="B2069" s="11" t="s">
        <v>2311</v>
      </c>
      <c r="C2069" s="12" t="s">
        <v>2449</v>
      </c>
      <c r="D2069" s="25"/>
      <c r="E2069" s="39" t="str">
        <f>HYPERLINK("https://www.google.ru/search?q=1357093-558&amp;newwindow=1&amp;tbm=isch","Еще фото")</f>
        <v>Еще фото</v>
      </c>
      <c r="F2069" s="13" t="s">
        <v>98</v>
      </c>
      <c r="G2069" s="11" t="s">
        <v>2198</v>
      </c>
      <c r="H2069" s="11" t="s">
        <v>27</v>
      </c>
      <c r="I2069" s="14" t="s">
        <v>2190</v>
      </c>
      <c r="J2069" s="14" t="s">
        <v>29</v>
      </c>
      <c r="K2069" s="15" t="s">
        <v>30</v>
      </c>
      <c r="L2069" s="14" t="s">
        <v>2313</v>
      </c>
      <c r="M2069" s="14" t="s">
        <v>56</v>
      </c>
      <c r="N2069" s="14" t="s">
        <v>84</v>
      </c>
      <c r="O2069" s="14" t="s">
        <v>34</v>
      </c>
      <c r="P2069" s="15" t="s">
        <v>324</v>
      </c>
      <c r="Q2069" s="16">
        <v>7099</v>
      </c>
      <c r="R2069" s="17">
        <v>40</v>
      </c>
      <c r="S2069" s="18">
        <v>4898.3099999999995</v>
      </c>
      <c r="T2069" s="19" t="s">
        <v>36</v>
      </c>
      <c r="U2069" s="20" t="s">
        <v>41</v>
      </c>
      <c r="V2069" s="21" t="s">
        <v>42</v>
      </c>
      <c r="W2069" s="22">
        <v>1</v>
      </c>
      <c r="X2069" s="23"/>
    </row>
    <row r="2070" spans="1:24" s="1" customFormat="1" ht="35.1" customHeight="1" x14ac:dyDescent="0.3">
      <c r="A2070" s="11" t="s">
        <v>23</v>
      </c>
      <c r="B2070" s="11" t="s">
        <v>2450</v>
      </c>
      <c r="C2070" s="12" t="s">
        <v>2451</v>
      </c>
      <c r="D2070" s="53"/>
      <c r="E2070" s="39" t="str">
        <f>HYPERLINK("https://www.google.ru/search?q=1357093-690&amp;newwindow=1&amp;tbm=isch","Еще фото")</f>
        <v>Еще фото</v>
      </c>
      <c r="F2070" s="13"/>
      <c r="G2070" s="11" t="s">
        <v>2198</v>
      </c>
      <c r="H2070" s="11" t="s">
        <v>27</v>
      </c>
      <c r="I2070" s="14" t="s">
        <v>2190</v>
      </c>
      <c r="J2070" s="14" t="s">
        <v>29</v>
      </c>
      <c r="K2070" s="15" t="s">
        <v>30</v>
      </c>
      <c r="L2070" s="56" t="s">
        <v>2313</v>
      </c>
      <c r="M2070" s="14" t="s">
        <v>56</v>
      </c>
      <c r="N2070" s="14" t="s">
        <v>670</v>
      </c>
      <c r="O2070" s="14" t="s">
        <v>34</v>
      </c>
      <c r="P2070" s="15" t="s">
        <v>113</v>
      </c>
      <c r="Q2070" s="16">
        <v>6399</v>
      </c>
      <c r="R2070" s="17">
        <v>40</v>
      </c>
      <c r="S2070" s="18">
        <v>4415.3099999999995</v>
      </c>
      <c r="T2070" s="19" t="s">
        <v>36</v>
      </c>
      <c r="U2070" s="20" t="s">
        <v>37</v>
      </c>
      <c r="V2070" s="21" t="s">
        <v>38</v>
      </c>
      <c r="W2070" s="22">
        <v>3</v>
      </c>
      <c r="X2070" s="23"/>
    </row>
    <row r="2071" spans="1:24" s="1" customFormat="1" ht="35.1" customHeight="1" x14ac:dyDescent="0.3">
      <c r="A2071" s="24" t="s">
        <v>23</v>
      </c>
      <c r="B2071" s="24" t="s">
        <v>2450</v>
      </c>
      <c r="C2071" s="12" t="s">
        <v>2451</v>
      </c>
      <c r="D2071" s="54"/>
      <c r="E2071" s="39" t="str">
        <f>HYPERLINK("https://www.google.ru/search?q=1357093-690&amp;newwindow=1&amp;tbm=isch","Еще фото")</f>
        <v>Еще фото</v>
      </c>
      <c r="F2071" s="13"/>
      <c r="G2071" s="24" t="s">
        <v>2198</v>
      </c>
      <c r="H2071" s="24" t="s">
        <v>27</v>
      </c>
      <c r="I2071" s="24" t="s">
        <v>2190</v>
      </c>
      <c r="J2071" s="14" t="s">
        <v>29</v>
      </c>
      <c r="K2071" s="15" t="s">
        <v>30</v>
      </c>
      <c r="L2071" s="57"/>
      <c r="M2071" s="14" t="s">
        <v>56</v>
      </c>
      <c r="N2071" s="14" t="s">
        <v>670</v>
      </c>
      <c r="O2071" s="14" t="s">
        <v>34</v>
      </c>
      <c r="P2071" s="15" t="s">
        <v>113</v>
      </c>
      <c r="Q2071" s="16">
        <v>6399</v>
      </c>
      <c r="R2071" s="17">
        <v>40</v>
      </c>
      <c r="S2071" s="18">
        <v>4415.3099999999995</v>
      </c>
      <c r="T2071" s="19" t="s">
        <v>36</v>
      </c>
      <c r="U2071" s="20" t="s">
        <v>39</v>
      </c>
      <c r="V2071" s="21" t="s">
        <v>40</v>
      </c>
      <c r="W2071" s="22">
        <v>1</v>
      </c>
      <c r="X2071" s="23"/>
    </row>
    <row r="2072" spans="1:24" s="1" customFormat="1" ht="36.950000000000003" customHeight="1" x14ac:dyDescent="0.3">
      <c r="A2072" s="24" t="s">
        <v>23</v>
      </c>
      <c r="B2072" s="24" t="s">
        <v>2450</v>
      </c>
      <c r="C2072" s="12" t="s">
        <v>2451</v>
      </c>
      <c r="D2072" s="55"/>
      <c r="E2072" s="39" t="str">
        <f>HYPERLINK("https://www.google.ru/search?q=1357093-690&amp;newwindow=1&amp;tbm=isch","Еще фото")</f>
        <v>Еще фото</v>
      </c>
      <c r="F2072" s="13"/>
      <c r="G2072" s="24" t="s">
        <v>2198</v>
      </c>
      <c r="H2072" s="24" t="s">
        <v>27</v>
      </c>
      <c r="I2072" s="24" t="s">
        <v>2190</v>
      </c>
      <c r="J2072" s="14" t="s">
        <v>29</v>
      </c>
      <c r="K2072" s="15" t="s">
        <v>30</v>
      </c>
      <c r="L2072" s="58"/>
      <c r="M2072" s="14" t="s">
        <v>56</v>
      </c>
      <c r="N2072" s="14" t="s">
        <v>670</v>
      </c>
      <c r="O2072" s="14" t="s">
        <v>34</v>
      </c>
      <c r="P2072" s="15" t="s">
        <v>113</v>
      </c>
      <c r="Q2072" s="16">
        <v>6399</v>
      </c>
      <c r="R2072" s="17">
        <v>40</v>
      </c>
      <c r="S2072" s="18">
        <v>4415.3099999999995</v>
      </c>
      <c r="T2072" s="19" t="s">
        <v>36</v>
      </c>
      <c r="U2072" s="20" t="s">
        <v>43</v>
      </c>
      <c r="V2072" s="21" t="s">
        <v>44</v>
      </c>
      <c r="W2072" s="22">
        <v>1</v>
      </c>
      <c r="X2072" s="23"/>
    </row>
    <row r="2073" spans="1:24" s="1" customFormat="1" ht="35.1" customHeight="1" x14ac:dyDescent="0.3">
      <c r="A2073" s="11" t="s">
        <v>23</v>
      </c>
      <c r="B2073" s="11" t="s">
        <v>2452</v>
      </c>
      <c r="C2073" s="12" t="s">
        <v>2453</v>
      </c>
      <c r="D2073" s="53"/>
      <c r="E2073" s="39" t="str">
        <f>HYPERLINK("https://www.google.ru/search?q=1366357-409&amp;newwindow=1&amp;tbm=isch","Еще фото")</f>
        <v>Еще фото</v>
      </c>
      <c r="F2073" s="13"/>
      <c r="G2073" s="11" t="s">
        <v>2198</v>
      </c>
      <c r="H2073" s="11" t="s">
        <v>27</v>
      </c>
      <c r="I2073" s="14" t="s">
        <v>2190</v>
      </c>
      <c r="J2073" s="14" t="s">
        <v>29</v>
      </c>
      <c r="K2073" s="15" t="s">
        <v>30</v>
      </c>
      <c r="L2073" s="56" t="s">
        <v>2454</v>
      </c>
      <c r="M2073" s="14" t="s">
        <v>56</v>
      </c>
      <c r="N2073" s="14" t="s">
        <v>91</v>
      </c>
      <c r="O2073" s="14"/>
      <c r="P2073" s="15" t="s">
        <v>113</v>
      </c>
      <c r="Q2073" s="16">
        <v>7099</v>
      </c>
      <c r="R2073" s="17">
        <v>40</v>
      </c>
      <c r="S2073" s="18">
        <v>4898.3099999999995</v>
      </c>
      <c r="T2073" s="19" t="s">
        <v>36</v>
      </c>
      <c r="U2073" s="20" t="s">
        <v>69</v>
      </c>
      <c r="V2073" s="21" t="s">
        <v>75</v>
      </c>
      <c r="W2073" s="22">
        <v>2</v>
      </c>
      <c r="X2073" s="23"/>
    </row>
    <row r="2074" spans="1:24" s="1" customFormat="1" ht="35.1" customHeight="1" x14ac:dyDescent="0.3">
      <c r="A2074" s="24" t="s">
        <v>23</v>
      </c>
      <c r="B2074" s="24" t="s">
        <v>2452</v>
      </c>
      <c r="C2074" s="12" t="s">
        <v>2453</v>
      </c>
      <c r="D2074" s="54"/>
      <c r="E2074" s="39" t="str">
        <f>HYPERLINK("https://www.google.ru/search?q=1366357-409&amp;newwindow=1&amp;tbm=isch","Еще фото")</f>
        <v>Еще фото</v>
      </c>
      <c r="F2074" s="13"/>
      <c r="G2074" s="24" t="s">
        <v>2198</v>
      </c>
      <c r="H2074" s="24" t="s">
        <v>27</v>
      </c>
      <c r="I2074" s="24" t="s">
        <v>2190</v>
      </c>
      <c r="J2074" s="14" t="s">
        <v>29</v>
      </c>
      <c r="K2074" s="15" t="s">
        <v>30</v>
      </c>
      <c r="L2074" s="57"/>
      <c r="M2074" s="14" t="s">
        <v>56</v>
      </c>
      <c r="N2074" s="14" t="s">
        <v>91</v>
      </c>
      <c r="O2074" s="14"/>
      <c r="P2074" s="15" t="s">
        <v>113</v>
      </c>
      <c r="Q2074" s="16">
        <v>7099</v>
      </c>
      <c r="R2074" s="17">
        <v>40</v>
      </c>
      <c r="S2074" s="18">
        <v>4898.3099999999995</v>
      </c>
      <c r="T2074" s="19" t="s">
        <v>36</v>
      </c>
      <c r="U2074" s="20" t="s">
        <v>37</v>
      </c>
      <c r="V2074" s="21" t="s">
        <v>38</v>
      </c>
      <c r="W2074" s="22">
        <v>3</v>
      </c>
      <c r="X2074" s="23"/>
    </row>
    <row r="2075" spans="1:24" s="1" customFormat="1" ht="36.950000000000003" customHeight="1" x14ac:dyDescent="0.3">
      <c r="A2075" s="24" t="s">
        <v>23</v>
      </c>
      <c r="B2075" s="24" t="s">
        <v>2452</v>
      </c>
      <c r="C2075" s="12" t="s">
        <v>2453</v>
      </c>
      <c r="D2075" s="55"/>
      <c r="E2075" s="39" t="str">
        <f>HYPERLINK("https://www.google.ru/search?q=1366357-409&amp;newwindow=1&amp;tbm=isch","Еще фото")</f>
        <v>Еще фото</v>
      </c>
      <c r="F2075" s="13"/>
      <c r="G2075" s="24" t="s">
        <v>2198</v>
      </c>
      <c r="H2075" s="24" t="s">
        <v>27</v>
      </c>
      <c r="I2075" s="24" t="s">
        <v>2190</v>
      </c>
      <c r="J2075" s="14" t="s">
        <v>29</v>
      </c>
      <c r="K2075" s="15" t="s">
        <v>30</v>
      </c>
      <c r="L2075" s="58"/>
      <c r="M2075" s="14" t="s">
        <v>56</v>
      </c>
      <c r="N2075" s="14" t="s">
        <v>91</v>
      </c>
      <c r="O2075" s="14"/>
      <c r="P2075" s="15" t="s">
        <v>113</v>
      </c>
      <c r="Q2075" s="16">
        <v>7099</v>
      </c>
      <c r="R2075" s="17">
        <v>40</v>
      </c>
      <c r="S2075" s="18">
        <v>4898.3099999999995</v>
      </c>
      <c r="T2075" s="19" t="s">
        <v>36</v>
      </c>
      <c r="U2075" s="20" t="s">
        <v>41</v>
      </c>
      <c r="V2075" s="21" t="s">
        <v>42</v>
      </c>
      <c r="W2075" s="22">
        <v>1</v>
      </c>
      <c r="X2075" s="23"/>
    </row>
    <row r="2076" spans="1:24" s="1" customFormat="1" ht="51.95" customHeight="1" x14ac:dyDescent="0.3">
      <c r="A2076" s="11" t="s">
        <v>23</v>
      </c>
      <c r="B2076" s="11" t="s">
        <v>2277</v>
      </c>
      <c r="C2076" s="12" t="s">
        <v>2455</v>
      </c>
      <c r="D2076" s="59"/>
      <c r="E2076" s="39" t="str">
        <f>HYPERLINK("https://www.google.ru/search?q=1366438-478&amp;newwindow=1&amp;tbm=isch","Еще фото")</f>
        <v>Еще фото</v>
      </c>
      <c r="F2076" s="13" t="s">
        <v>98</v>
      </c>
      <c r="G2076" s="11" t="s">
        <v>2198</v>
      </c>
      <c r="H2076" s="11" t="s">
        <v>27</v>
      </c>
      <c r="I2076" s="14" t="s">
        <v>2190</v>
      </c>
      <c r="J2076" s="14" t="s">
        <v>29</v>
      </c>
      <c r="K2076" s="15" t="s">
        <v>30</v>
      </c>
      <c r="L2076" s="56" t="s">
        <v>2279</v>
      </c>
      <c r="M2076" s="14" t="s">
        <v>49</v>
      </c>
      <c r="N2076" s="14" t="s">
        <v>91</v>
      </c>
      <c r="O2076" s="14" t="s">
        <v>34</v>
      </c>
      <c r="P2076" s="15" t="s">
        <v>35</v>
      </c>
      <c r="Q2076" s="16">
        <v>19799</v>
      </c>
      <c r="R2076" s="17">
        <v>40</v>
      </c>
      <c r="S2076" s="18">
        <v>13661.309999999998</v>
      </c>
      <c r="T2076" s="19" t="s">
        <v>36</v>
      </c>
      <c r="U2076" s="20" t="s">
        <v>39</v>
      </c>
      <c r="V2076" s="21" t="s">
        <v>40</v>
      </c>
      <c r="W2076" s="22">
        <v>2</v>
      </c>
      <c r="X2076" s="23"/>
    </row>
    <row r="2077" spans="1:24" s="1" customFormat="1" ht="60.95" customHeight="1" x14ac:dyDescent="0.3">
      <c r="A2077" s="24" t="s">
        <v>23</v>
      </c>
      <c r="B2077" s="24" t="s">
        <v>2277</v>
      </c>
      <c r="C2077" s="12" t="s">
        <v>2455</v>
      </c>
      <c r="D2077" s="60"/>
      <c r="E2077" s="39" t="str">
        <f>HYPERLINK("https://www.google.ru/search?q=1366438-478&amp;newwindow=1&amp;tbm=isch","Еще фото")</f>
        <v>Еще фото</v>
      </c>
      <c r="F2077" s="13" t="s">
        <v>98</v>
      </c>
      <c r="G2077" s="24" t="s">
        <v>2198</v>
      </c>
      <c r="H2077" s="24" t="s">
        <v>27</v>
      </c>
      <c r="I2077" s="24" t="s">
        <v>2190</v>
      </c>
      <c r="J2077" s="14" t="s">
        <v>29</v>
      </c>
      <c r="K2077" s="15" t="s">
        <v>30</v>
      </c>
      <c r="L2077" s="58"/>
      <c r="M2077" s="14" t="s">
        <v>49</v>
      </c>
      <c r="N2077" s="14" t="s">
        <v>91</v>
      </c>
      <c r="O2077" s="14" t="s">
        <v>34</v>
      </c>
      <c r="P2077" s="15" t="s">
        <v>35</v>
      </c>
      <c r="Q2077" s="16">
        <v>19799</v>
      </c>
      <c r="R2077" s="17">
        <v>40</v>
      </c>
      <c r="S2077" s="18">
        <v>13661.309999999998</v>
      </c>
      <c r="T2077" s="19" t="s">
        <v>36</v>
      </c>
      <c r="U2077" s="20" t="s">
        <v>41</v>
      </c>
      <c r="V2077" s="21" t="s">
        <v>42</v>
      </c>
      <c r="W2077" s="22">
        <v>1</v>
      </c>
      <c r="X2077" s="23"/>
    </row>
    <row r="2078" spans="1:24" s="1" customFormat="1" ht="51.95" customHeight="1" x14ac:dyDescent="0.3">
      <c r="A2078" s="11" t="s">
        <v>23</v>
      </c>
      <c r="B2078" s="11" t="s">
        <v>2456</v>
      </c>
      <c r="C2078" s="12" t="s">
        <v>2457</v>
      </c>
      <c r="D2078" s="59"/>
      <c r="E2078" s="39" t="str">
        <f>HYPERLINK("https://www.google.ru/search?q=1370409-001&amp;newwindow=1&amp;tbm=isch","Еще фото")</f>
        <v>Еще фото</v>
      </c>
      <c r="F2078" s="13" t="s">
        <v>98</v>
      </c>
      <c r="G2078" s="11" t="s">
        <v>2198</v>
      </c>
      <c r="H2078" s="11" t="s">
        <v>27</v>
      </c>
      <c r="I2078" s="14" t="s">
        <v>2190</v>
      </c>
      <c r="J2078" s="14" t="s">
        <v>29</v>
      </c>
      <c r="K2078" s="15" t="s">
        <v>30</v>
      </c>
      <c r="L2078" s="56" t="s">
        <v>2376</v>
      </c>
      <c r="M2078" s="14" t="s">
        <v>223</v>
      </c>
      <c r="N2078" s="14" t="s">
        <v>33</v>
      </c>
      <c r="O2078" s="14"/>
      <c r="P2078" s="15" t="s">
        <v>113</v>
      </c>
      <c r="Q2078" s="16">
        <v>6899</v>
      </c>
      <c r="R2078" s="17">
        <v>40</v>
      </c>
      <c r="S2078" s="18">
        <v>4760.3099999999995</v>
      </c>
      <c r="T2078" s="19" t="s">
        <v>36</v>
      </c>
      <c r="U2078" s="20" t="s">
        <v>39</v>
      </c>
      <c r="V2078" s="21" t="s">
        <v>40</v>
      </c>
      <c r="W2078" s="22">
        <v>4</v>
      </c>
      <c r="X2078" s="23"/>
    </row>
    <row r="2079" spans="1:24" s="1" customFormat="1" ht="60.95" customHeight="1" x14ac:dyDescent="0.3">
      <c r="A2079" s="24" t="s">
        <v>23</v>
      </c>
      <c r="B2079" s="24" t="s">
        <v>2456</v>
      </c>
      <c r="C2079" s="12" t="s">
        <v>2457</v>
      </c>
      <c r="D2079" s="60"/>
      <c r="E2079" s="39" t="str">
        <f>HYPERLINK("https://www.google.ru/search?q=1370409-001&amp;newwindow=1&amp;tbm=isch","Еще фото")</f>
        <v>Еще фото</v>
      </c>
      <c r="F2079" s="13" t="s">
        <v>98</v>
      </c>
      <c r="G2079" s="24" t="s">
        <v>2198</v>
      </c>
      <c r="H2079" s="24" t="s">
        <v>27</v>
      </c>
      <c r="I2079" s="24" t="s">
        <v>2190</v>
      </c>
      <c r="J2079" s="14" t="s">
        <v>29</v>
      </c>
      <c r="K2079" s="15" t="s">
        <v>30</v>
      </c>
      <c r="L2079" s="58"/>
      <c r="M2079" s="14" t="s">
        <v>223</v>
      </c>
      <c r="N2079" s="14" t="s">
        <v>33</v>
      </c>
      <c r="O2079" s="14"/>
      <c r="P2079" s="15" t="s">
        <v>113</v>
      </c>
      <c r="Q2079" s="16">
        <v>6899</v>
      </c>
      <c r="R2079" s="17">
        <v>40</v>
      </c>
      <c r="S2079" s="18">
        <v>4760.3099999999995</v>
      </c>
      <c r="T2079" s="19" t="s">
        <v>36</v>
      </c>
      <c r="U2079" s="20" t="s">
        <v>41</v>
      </c>
      <c r="V2079" s="21" t="s">
        <v>42</v>
      </c>
      <c r="W2079" s="22">
        <v>1</v>
      </c>
      <c r="X2079" s="23"/>
    </row>
    <row r="2080" spans="1:24" s="1" customFormat="1" ht="35.1" customHeight="1" x14ac:dyDescent="0.3">
      <c r="A2080" s="11" t="s">
        <v>23</v>
      </c>
      <c r="B2080" s="11" t="s">
        <v>2299</v>
      </c>
      <c r="C2080" s="12" t="s">
        <v>2458</v>
      </c>
      <c r="D2080" s="53"/>
      <c r="E2080" s="39" t="str">
        <f>HYPERLINK("https://www.google.ru/search?q=1370409-025&amp;newwindow=1&amp;tbm=isch","Еще фото")</f>
        <v>Еще фото</v>
      </c>
      <c r="F2080" s="13" t="s">
        <v>98</v>
      </c>
      <c r="G2080" s="11" t="s">
        <v>2198</v>
      </c>
      <c r="H2080" s="11" t="s">
        <v>27</v>
      </c>
      <c r="I2080" s="14" t="s">
        <v>2190</v>
      </c>
      <c r="J2080" s="14" t="s">
        <v>29</v>
      </c>
      <c r="K2080" s="15" t="s">
        <v>30</v>
      </c>
      <c r="L2080" s="56" t="s">
        <v>2459</v>
      </c>
      <c r="M2080" s="14"/>
      <c r="N2080" s="14" t="s">
        <v>84</v>
      </c>
      <c r="O2080" s="14"/>
      <c r="P2080" s="15" t="s">
        <v>113</v>
      </c>
      <c r="Q2080" s="16">
        <v>10899</v>
      </c>
      <c r="R2080" s="17">
        <v>40</v>
      </c>
      <c r="S2080" s="18">
        <v>7520.3099999999986</v>
      </c>
      <c r="T2080" s="19" t="s">
        <v>36</v>
      </c>
      <c r="U2080" s="20" t="s">
        <v>69</v>
      </c>
      <c r="V2080" s="21" t="s">
        <v>75</v>
      </c>
      <c r="W2080" s="22">
        <v>5</v>
      </c>
      <c r="X2080" s="23"/>
    </row>
    <row r="2081" spans="1:24" s="1" customFormat="1" ht="35.1" customHeight="1" x14ac:dyDescent="0.3">
      <c r="A2081" s="24" t="s">
        <v>23</v>
      </c>
      <c r="B2081" s="24" t="s">
        <v>2299</v>
      </c>
      <c r="C2081" s="12" t="s">
        <v>2458</v>
      </c>
      <c r="D2081" s="54"/>
      <c r="E2081" s="39" t="str">
        <f>HYPERLINK("https://www.google.ru/search?q=1370409-025&amp;newwindow=1&amp;tbm=isch","Еще фото")</f>
        <v>Еще фото</v>
      </c>
      <c r="F2081" s="13" t="s">
        <v>98</v>
      </c>
      <c r="G2081" s="24" t="s">
        <v>2198</v>
      </c>
      <c r="H2081" s="24" t="s">
        <v>27</v>
      </c>
      <c r="I2081" s="24" t="s">
        <v>2190</v>
      </c>
      <c r="J2081" s="14" t="s">
        <v>29</v>
      </c>
      <c r="K2081" s="15" t="s">
        <v>30</v>
      </c>
      <c r="L2081" s="57"/>
      <c r="M2081" s="14"/>
      <c r="N2081" s="14" t="s">
        <v>84</v>
      </c>
      <c r="O2081" s="14"/>
      <c r="P2081" s="15" t="s">
        <v>113</v>
      </c>
      <c r="Q2081" s="16">
        <v>10899</v>
      </c>
      <c r="R2081" s="17">
        <v>40</v>
      </c>
      <c r="S2081" s="18">
        <v>7520.3099999999986</v>
      </c>
      <c r="T2081" s="19" t="s">
        <v>36</v>
      </c>
      <c r="U2081" s="20" t="s">
        <v>37</v>
      </c>
      <c r="V2081" s="21" t="s">
        <v>38</v>
      </c>
      <c r="W2081" s="22">
        <v>10</v>
      </c>
      <c r="X2081" s="23"/>
    </row>
    <row r="2082" spans="1:24" s="1" customFormat="1" ht="36.950000000000003" customHeight="1" x14ac:dyDescent="0.3">
      <c r="A2082" s="24" t="s">
        <v>23</v>
      </c>
      <c r="B2082" s="24" t="s">
        <v>2299</v>
      </c>
      <c r="C2082" s="12" t="s">
        <v>2458</v>
      </c>
      <c r="D2082" s="55"/>
      <c r="E2082" s="39" t="str">
        <f>HYPERLINK("https://www.google.ru/search?q=1370409-025&amp;newwindow=1&amp;tbm=isch","Еще фото")</f>
        <v>Еще фото</v>
      </c>
      <c r="F2082" s="13" t="s">
        <v>98</v>
      </c>
      <c r="G2082" s="24" t="s">
        <v>2198</v>
      </c>
      <c r="H2082" s="24" t="s">
        <v>27</v>
      </c>
      <c r="I2082" s="24" t="s">
        <v>2190</v>
      </c>
      <c r="J2082" s="14" t="s">
        <v>29</v>
      </c>
      <c r="K2082" s="15" t="s">
        <v>30</v>
      </c>
      <c r="L2082" s="58"/>
      <c r="M2082" s="14"/>
      <c r="N2082" s="14" t="s">
        <v>84</v>
      </c>
      <c r="O2082" s="14"/>
      <c r="P2082" s="15" t="s">
        <v>113</v>
      </c>
      <c r="Q2082" s="16">
        <v>10899</v>
      </c>
      <c r="R2082" s="17">
        <v>40</v>
      </c>
      <c r="S2082" s="18">
        <v>7520.3099999999986</v>
      </c>
      <c r="T2082" s="19" t="s">
        <v>36</v>
      </c>
      <c r="U2082" s="20" t="s">
        <v>41</v>
      </c>
      <c r="V2082" s="21" t="s">
        <v>42</v>
      </c>
      <c r="W2082" s="22">
        <v>11</v>
      </c>
      <c r="X2082" s="23"/>
    </row>
    <row r="2083" spans="1:24" s="1" customFormat="1" ht="51.95" customHeight="1" x14ac:dyDescent="0.3">
      <c r="A2083" s="11" t="s">
        <v>23</v>
      </c>
      <c r="B2083" s="11" t="s">
        <v>2456</v>
      </c>
      <c r="C2083" s="12" t="s">
        <v>2460</v>
      </c>
      <c r="D2083" s="59"/>
      <c r="E2083" s="39" t="str">
        <f>HYPERLINK("https://www.google.ru/search?q=1370409-361&amp;newwindow=1&amp;tbm=isch","Еще фото")</f>
        <v>Еще фото</v>
      </c>
      <c r="F2083" s="13"/>
      <c r="G2083" s="11" t="s">
        <v>2198</v>
      </c>
      <c r="H2083" s="11" t="s">
        <v>27</v>
      </c>
      <c r="I2083" s="14" t="s">
        <v>2190</v>
      </c>
      <c r="J2083" s="14" t="s">
        <v>29</v>
      </c>
      <c r="K2083" s="15" t="s">
        <v>30</v>
      </c>
      <c r="L2083" s="56" t="s">
        <v>2376</v>
      </c>
      <c r="M2083" s="14"/>
      <c r="N2083" s="14" t="s">
        <v>125</v>
      </c>
      <c r="O2083" s="14"/>
      <c r="P2083" s="15" t="s">
        <v>113</v>
      </c>
      <c r="Q2083" s="16">
        <v>8599</v>
      </c>
      <c r="R2083" s="17">
        <v>40</v>
      </c>
      <c r="S2083" s="18">
        <v>5933.3099999999995</v>
      </c>
      <c r="T2083" s="19" t="s">
        <v>36</v>
      </c>
      <c r="U2083" s="20" t="s">
        <v>37</v>
      </c>
      <c r="V2083" s="21" t="s">
        <v>38</v>
      </c>
      <c r="W2083" s="22">
        <v>10</v>
      </c>
      <c r="X2083" s="23"/>
    </row>
    <row r="2084" spans="1:24" s="1" customFormat="1" ht="60.95" customHeight="1" x14ac:dyDescent="0.3">
      <c r="A2084" s="24" t="s">
        <v>23</v>
      </c>
      <c r="B2084" s="24" t="s">
        <v>2456</v>
      </c>
      <c r="C2084" s="12" t="s">
        <v>2460</v>
      </c>
      <c r="D2084" s="60"/>
      <c r="E2084" s="39" t="str">
        <f>HYPERLINK("https://www.google.ru/search?q=1370409-361&amp;newwindow=1&amp;tbm=isch","Еще фото")</f>
        <v>Еще фото</v>
      </c>
      <c r="F2084" s="13"/>
      <c r="G2084" s="24" t="s">
        <v>2198</v>
      </c>
      <c r="H2084" s="24" t="s">
        <v>27</v>
      </c>
      <c r="I2084" s="24" t="s">
        <v>2190</v>
      </c>
      <c r="J2084" s="14" t="s">
        <v>29</v>
      </c>
      <c r="K2084" s="15" t="s">
        <v>30</v>
      </c>
      <c r="L2084" s="58"/>
      <c r="M2084" s="14"/>
      <c r="N2084" s="14" t="s">
        <v>125</v>
      </c>
      <c r="O2084" s="14"/>
      <c r="P2084" s="15" t="s">
        <v>113</v>
      </c>
      <c r="Q2084" s="16">
        <v>8599</v>
      </c>
      <c r="R2084" s="17">
        <v>40</v>
      </c>
      <c r="S2084" s="18">
        <v>5933.3099999999995</v>
      </c>
      <c r="T2084" s="19" t="s">
        <v>36</v>
      </c>
      <c r="U2084" s="20" t="s">
        <v>39</v>
      </c>
      <c r="V2084" s="21" t="s">
        <v>40</v>
      </c>
      <c r="W2084" s="22">
        <v>4</v>
      </c>
      <c r="X2084" s="23"/>
    </row>
    <row r="2085" spans="1:24" s="1" customFormat="1" ht="51.95" customHeight="1" x14ac:dyDescent="0.3">
      <c r="A2085" s="11" t="s">
        <v>23</v>
      </c>
      <c r="B2085" s="11" t="s">
        <v>2461</v>
      </c>
      <c r="C2085" s="12" t="s">
        <v>2462</v>
      </c>
      <c r="D2085" s="59"/>
      <c r="E2085" s="39" t="str">
        <f>HYPERLINK("https://www.google.ru/search?q=1370941-852&amp;newwindow=1&amp;tbm=isch","Еще фото")</f>
        <v>Еще фото</v>
      </c>
      <c r="F2085" s="13"/>
      <c r="G2085" s="11" t="s">
        <v>2198</v>
      </c>
      <c r="H2085" s="11" t="s">
        <v>27</v>
      </c>
      <c r="I2085" s="14" t="s">
        <v>2190</v>
      </c>
      <c r="J2085" s="14" t="s">
        <v>47</v>
      </c>
      <c r="K2085" s="15" t="s">
        <v>64</v>
      </c>
      <c r="L2085" s="56" t="s">
        <v>2463</v>
      </c>
      <c r="M2085" s="14" t="s">
        <v>56</v>
      </c>
      <c r="N2085" s="14" t="s">
        <v>57</v>
      </c>
      <c r="O2085" s="14"/>
      <c r="P2085" s="15" t="s">
        <v>368</v>
      </c>
      <c r="Q2085" s="16">
        <v>6199</v>
      </c>
      <c r="R2085" s="17">
        <v>40</v>
      </c>
      <c r="S2085" s="18">
        <v>4277.3099999999995</v>
      </c>
      <c r="T2085" s="19" t="s">
        <v>36</v>
      </c>
      <c r="U2085" s="20" t="s">
        <v>69</v>
      </c>
      <c r="V2085" s="21" t="s">
        <v>70</v>
      </c>
      <c r="W2085" s="22">
        <v>1</v>
      </c>
      <c r="X2085" s="23"/>
    </row>
    <row r="2086" spans="1:24" s="1" customFormat="1" ht="60.95" customHeight="1" x14ac:dyDescent="0.3">
      <c r="A2086" s="24" t="s">
        <v>23</v>
      </c>
      <c r="B2086" s="24" t="s">
        <v>2461</v>
      </c>
      <c r="C2086" s="12" t="s">
        <v>2462</v>
      </c>
      <c r="D2086" s="60"/>
      <c r="E2086" s="39" t="str">
        <f>HYPERLINK("https://www.google.ru/search?q=1370941-852&amp;newwindow=1&amp;tbm=isch","Еще фото")</f>
        <v>Еще фото</v>
      </c>
      <c r="F2086" s="13"/>
      <c r="G2086" s="24" t="s">
        <v>2198</v>
      </c>
      <c r="H2086" s="24" t="s">
        <v>27</v>
      </c>
      <c r="I2086" s="24" t="s">
        <v>2190</v>
      </c>
      <c r="J2086" s="14" t="s">
        <v>47</v>
      </c>
      <c r="K2086" s="15" t="s">
        <v>64</v>
      </c>
      <c r="L2086" s="58"/>
      <c r="M2086" s="14" t="s">
        <v>56</v>
      </c>
      <c r="N2086" s="14" t="s">
        <v>57</v>
      </c>
      <c r="O2086" s="14"/>
      <c r="P2086" s="15" t="s">
        <v>368</v>
      </c>
      <c r="Q2086" s="16">
        <v>6199</v>
      </c>
      <c r="R2086" s="17">
        <v>40</v>
      </c>
      <c r="S2086" s="18">
        <v>4277.3099999999995</v>
      </c>
      <c r="T2086" s="19" t="s">
        <v>36</v>
      </c>
      <c r="U2086" s="20" t="s">
        <v>39</v>
      </c>
      <c r="V2086" s="21" t="s">
        <v>38</v>
      </c>
      <c r="W2086" s="22">
        <v>1</v>
      </c>
      <c r="X2086" s="23"/>
    </row>
    <row r="2087" spans="1:24" s="1" customFormat="1" ht="35.1" customHeight="1" x14ac:dyDescent="0.3">
      <c r="A2087" s="11" t="s">
        <v>23</v>
      </c>
      <c r="B2087" s="11" t="s">
        <v>2464</v>
      </c>
      <c r="C2087" s="12" t="s">
        <v>2465</v>
      </c>
      <c r="D2087" s="53"/>
      <c r="E2087" s="39" t="str">
        <f>HYPERLINK("https://www.google.ru/search?q=1371586-003&amp;newwindow=1&amp;tbm=isch","Еще фото")</f>
        <v>Еще фото</v>
      </c>
      <c r="F2087" s="13" t="s">
        <v>98</v>
      </c>
      <c r="G2087" s="11" t="s">
        <v>2202</v>
      </c>
      <c r="H2087" s="11" t="s">
        <v>27</v>
      </c>
      <c r="I2087" s="14" t="s">
        <v>2190</v>
      </c>
      <c r="J2087" s="14" t="s">
        <v>29</v>
      </c>
      <c r="K2087" s="15" t="s">
        <v>30</v>
      </c>
      <c r="L2087" s="56" t="s">
        <v>2466</v>
      </c>
      <c r="M2087" s="14" t="s">
        <v>2467</v>
      </c>
      <c r="N2087" s="14" t="s">
        <v>33</v>
      </c>
      <c r="O2087" s="14"/>
      <c r="P2087" s="15" t="s">
        <v>133</v>
      </c>
      <c r="Q2087" s="16">
        <v>12799</v>
      </c>
      <c r="R2087" s="17">
        <v>40</v>
      </c>
      <c r="S2087" s="18">
        <v>8831.31</v>
      </c>
      <c r="T2087" s="19" t="s">
        <v>36</v>
      </c>
      <c r="U2087" s="20" t="s">
        <v>37</v>
      </c>
      <c r="V2087" s="21" t="s">
        <v>38</v>
      </c>
      <c r="W2087" s="22">
        <v>6</v>
      </c>
      <c r="X2087" s="23"/>
    </row>
    <row r="2088" spans="1:24" s="1" customFormat="1" ht="35.1" customHeight="1" x14ac:dyDescent="0.3">
      <c r="A2088" s="24" t="s">
        <v>23</v>
      </c>
      <c r="B2088" s="24" t="s">
        <v>2464</v>
      </c>
      <c r="C2088" s="12" t="s">
        <v>2465</v>
      </c>
      <c r="D2088" s="54"/>
      <c r="E2088" s="39" t="str">
        <f>HYPERLINK("https://www.google.ru/search?q=1371586-003&amp;newwindow=1&amp;tbm=isch","Еще фото")</f>
        <v>Еще фото</v>
      </c>
      <c r="F2088" s="13" t="s">
        <v>98</v>
      </c>
      <c r="G2088" s="24" t="s">
        <v>2202</v>
      </c>
      <c r="H2088" s="24" t="s">
        <v>27</v>
      </c>
      <c r="I2088" s="24" t="s">
        <v>2190</v>
      </c>
      <c r="J2088" s="14" t="s">
        <v>29</v>
      </c>
      <c r="K2088" s="15" t="s">
        <v>30</v>
      </c>
      <c r="L2088" s="57"/>
      <c r="M2088" s="14" t="s">
        <v>2467</v>
      </c>
      <c r="N2088" s="14" t="s">
        <v>33</v>
      </c>
      <c r="O2088" s="14"/>
      <c r="P2088" s="15" t="s">
        <v>133</v>
      </c>
      <c r="Q2088" s="16">
        <v>12799</v>
      </c>
      <c r="R2088" s="17">
        <v>40</v>
      </c>
      <c r="S2088" s="18">
        <v>8831.31</v>
      </c>
      <c r="T2088" s="19" t="s">
        <v>36</v>
      </c>
      <c r="U2088" s="20" t="s">
        <v>39</v>
      </c>
      <c r="V2088" s="21" t="s">
        <v>40</v>
      </c>
      <c r="W2088" s="22">
        <v>4</v>
      </c>
      <c r="X2088" s="23"/>
    </row>
    <row r="2089" spans="1:24" s="1" customFormat="1" ht="36.950000000000003" customHeight="1" x14ac:dyDescent="0.3">
      <c r="A2089" s="24" t="s">
        <v>23</v>
      </c>
      <c r="B2089" s="24" t="s">
        <v>2464</v>
      </c>
      <c r="C2089" s="12" t="s">
        <v>2465</v>
      </c>
      <c r="D2089" s="55"/>
      <c r="E2089" s="39" t="str">
        <f>HYPERLINK("https://www.google.ru/search?q=1371586-003&amp;newwindow=1&amp;tbm=isch","Еще фото")</f>
        <v>Еще фото</v>
      </c>
      <c r="F2089" s="13" t="s">
        <v>98</v>
      </c>
      <c r="G2089" s="24" t="s">
        <v>2202</v>
      </c>
      <c r="H2089" s="24" t="s">
        <v>27</v>
      </c>
      <c r="I2089" s="24" t="s">
        <v>2190</v>
      </c>
      <c r="J2089" s="14" t="s">
        <v>29</v>
      </c>
      <c r="K2089" s="15" t="s">
        <v>30</v>
      </c>
      <c r="L2089" s="58"/>
      <c r="M2089" s="14" t="s">
        <v>2467</v>
      </c>
      <c r="N2089" s="14" t="s">
        <v>33</v>
      </c>
      <c r="O2089" s="14"/>
      <c r="P2089" s="15" t="s">
        <v>133</v>
      </c>
      <c r="Q2089" s="16">
        <v>12799</v>
      </c>
      <c r="R2089" s="17">
        <v>40</v>
      </c>
      <c r="S2089" s="18">
        <v>8831.31</v>
      </c>
      <c r="T2089" s="19" t="s">
        <v>36</v>
      </c>
      <c r="U2089" s="20" t="s">
        <v>43</v>
      </c>
      <c r="V2089" s="21" t="s">
        <v>44</v>
      </c>
      <c r="W2089" s="22">
        <v>1</v>
      </c>
      <c r="X2089" s="23"/>
    </row>
    <row r="2090" spans="1:24" s="1" customFormat="1" ht="108" customHeight="1" x14ac:dyDescent="0.3">
      <c r="A2090" s="11" t="s">
        <v>23</v>
      </c>
      <c r="B2090" s="11" t="s">
        <v>2464</v>
      </c>
      <c r="C2090" s="12" t="s">
        <v>2468</v>
      </c>
      <c r="D2090" s="25"/>
      <c r="E2090" s="39" t="str">
        <f>HYPERLINK("https://www.google.ru/search?q=1371586-025&amp;newwindow=1&amp;tbm=isch","Еще фото")</f>
        <v>Еще фото</v>
      </c>
      <c r="F2090" s="13"/>
      <c r="G2090" s="11" t="s">
        <v>2202</v>
      </c>
      <c r="H2090" s="11" t="s">
        <v>27</v>
      </c>
      <c r="I2090" s="14" t="s">
        <v>2190</v>
      </c>
      <c r="J2090" s="14" t="s">
        <v>29</v>
      </c>
      <c r="K2090" s="15" t="s">
        <v>30</v>
      </c>
      <c r="L2090" s="14" t="s">
        <v>2466</v>
      </c>
      <c r="M2090" s="14" t="s">
        <v>2204</v>
      </c>
      <c r="N2090" s="14" t="s">
        <v>84</v>
      </c>
      <c r="O2090" s="14"/>
      <c r="P2090" s="15" t="s">
        <v>133</v>
      </c>
      <c r="Q2090" s="16">
        <v>12799</v>
      </c>
      <c r="R2090" s="17">
        <v>40</v>
      </c>
      <c r="S2090" s="18">
        <v>8831.31</v>
      </c>
      <c r="T2090" s="19" t="s">
        <v>36</v>
      </c>
      <c r="U2090" s="20" t="s">
        <v>39</v>
      </c>
      <c r="V2090" s="21" t="s">
        <v>40</v>
      </c>
      <c r="W2090" s="22">
        <v>1</v>
      </c>
      <c r="X2090" s="23"/>
    </row>
    <row r="2091" spans="1:24" s="1" customFormat="1" ht="51.95" customHeight="1" x14ac:dyDescent="0.3">
      <c r="A2091" s="11" t="s">
        <v>23</v>
      </c>
      <c r="B2091" s="11" t="s">
        <v>2250</v>
      </c>
      <c r="C2091" s="12" t="s">
        <v>2469</v>
      </c>
      <c r="D2091" s="59"/>
      <c r="E2091" s="39" t="str">
        <f>HYPERLINK("https://www.google.ru/search?q=1373353-001&amp;newwindow=1&amp;tbm=isch","Еще фото")</f>
        <v>Еще фото</v>
      </c>
      <c r="F2091" s="13" t="s">
        <v>98</v>
      </c>
      <c r="G2091" s="11" t="s">
        <v>2198</v>
      </c>
      <c r="H2091" s="11" t="s">
        <v>27</v>
      </c>
      <c r="I2091" s="14" t="s">
        <v>2190</v>
      </c>
      <c r="J2091" s="14" t="s">
        <v>29</v>
      </c>
      <c r="K2091" s="15" t="s">
        <v>30</v>
      </c>
      <c r="L2091" s="56" t="s">
        <v>2470</v>
      </c>
      <c r="M2091" s="14" t="s">
        <v>90</v>
      </c>
      <c r="N2091" s="14" t="s">
        <v>33</v>
      </c>
      <c r="O2091" s="14"/>
      <c r="P2091" s="15" t="s">
        <v>51</v>
      </c>
      <c r="Q2091" s="16">
        <v>7899</v>
      </c>
      <c r="R2091" s="17">
        <v>40</v>
      </c>
      <c r="S2091" s="18">
        <v>5450.3099999999995</v>
      </c>
      <c r="T2091" s="19" t="s">
        <v>36</v>
      </c>
      <c r="U2091" s="20" t="s">
        <v>41</v>
      </c>
      <c r="V2091" s="21" t="s">
        <v>42</v>
      </c>
      <c r="W2091" s="22">
        <v>6</v>
      </c>
      <c r="X2091" s="23"/>
    </row>
    <row r="2092" spans="1:24" s="1" customFormat="1" ht="60.95" customHeight="1" x14ac:dyDescent="0.3">
      <c r="A2092" s="24" t="s">
        <v>23</v>
      </c>
      <c r="B2092" s="24" t="s">
        <v>2250</v>
      </c>
      <c r="C2092" s="12" t="s">
        <v>2469</v>
      </c>
      <c r="D2092" s="60"/>
      <c r="E2092" s="39" t="str">
        <f>HYPERLINK("https://www.google.ru/search?q=1373353-001&amp;newwindow=1&amp;tbm=isch","Еще фото")</f>
        <v>Еще фото</v>
      </c>
      <c r="F2092" s="13" t="s">
        <v>98</v>
      </c>
      <c r="G2092" s="24" t="s">
        <v>2198</v>
      </c>
      <c r="H2092" s="24" t="s">
        <v>27</v>
      </c>
      <c r="I2092" s="24" t="s">
        <v>2190</v>
      </c>
      <c r="J2092" s="14" t="s">
        <v>29</v>
      </c>
      <c r="K2092" s="15" t="s">
        <v>30</v>
      </c>
      <c r="L2092" s="58"/>
      <c r="M2092" s="14" t="s">
        <v>90</v>
      </c>
      <c r="N2092" s="14" t="s">
        <v>33</v>
      </c>
      <c r="O2092" s="14"/>
      <c r="P2092" s="15" t="s">
        <v>51</v>
      </c>
      <c r="Q2092" s="16">
        <v>7899</v>
      </c>
      <c r="R2092" s="17">
        <v>40</v>
      </c>
      <c r="S2092" s="18">
        <v>5450.3099999999995</v>
      </c>
      <c r="T2092" s="19" t="s">
        <v>36</v>
      </c>
      <c r="U2092" s="20" t="s">
        <v>43</v>
      </c>
      <c r="V2092" s="21" t="s">
        <v>44</v>
      </c>
      <c r="W2092" s="22">
        <v>4</v>
      </c>
      <c r="X2092" s="23"/>
    </row>
    <row r="2093" spans="1:24" s="1" customFormat="1" ht="35.1" customHeight="1" x14ac:dyDescent="0.3">
      <c r="A2093" s="11" t="s">
        <v>23</v>
      </c>
      <c r="B2093" s="11" t="s">
        <v>2250</v>
      </c>
      <c r="C2093" s="12" t="s">
        <v>2471</v>
      </c>
      <c r="D2093" s="53"/>
      <c r="E2093" s="39" t="str">
        <f>HYPERLINK("https://www.google.ru/search?q=1373353-014&amp;newwindow=1&amp;tbm=isch","Еще фото")</f>
        <v>Еще фото</v>
      </c>
      <c r="F2093" s="13"/>
      <c r="G2093" s="11" t="s">
        <v>2198</v>
      </c>
      <c r="H2093" s="11" t="s">
        <v>27</v>
      </c>
      <c r="I2093" s="14" t="s">
        <v>2190</v>
      </c>
      <c r="J2093" s="14" t="s">
        <v>29</v>
      </c>
      <c r="K2093" s="15" t="s">
        <v>30</v>
      </c>
      <c r="L2093" s="56" t="s">
        <v>2470</v>
      </c>
      <c r="M2093" s="14" t="s">
        <v>90</v>
      </c>
      <c r="N2093" s="14" t="s">
        <v>84</v>
      </c>
      <c r="O2093" s="14"/>
      <c r="P2093" s="15" t="s">
        <v>51</v>
      </c>
      <c r="Q2093" s="16">
        <v>8299</v>
      </c>
      <c r="R2093" s="17">
        <v>40</v>
      </c>
      <c r="S2093" s="18">
        <v>5726.3099999999995</v>
      </c>
      <c r="T2093" s="19" t="s">
        <v>36</v>
      </c>
      <c r="U2093" s="20" t="s">
        <v>39</v>
      </c>
      <c r="V2093" s="21" t="s">
        <v>40</v>
      </c>
      <c r="W2093" s="22">
        <v>4</v>
      </c>
      <c r="X2093" s="23"/>
    </row>
    <row r="2094" spans="1:24" s="1" customFormat="1" ht="35.1" customHeight="1" x14ac:dyDescent="0.3">
      <c r="A2094" s="24" t="s">
        <v>23</v>
      </c>
      <c r="B2094" s="24" t="s">
        <v>2250</v>
      </c>
      <c r="C2094" s="12" t="s">
        <v>2471</v>
      </c>
      <c r="D2094" s="54"/>
      <c r="E2094" s="39" t="str">
        <f>HYPERLINK("https://www.google.ru/search?q=1373353-014&amp;newwindow=1&amp;tbm=isch","Еще фото")</f>
        <v>Еще фото</v>
      </c>
      <c r="F2094" s="13"/>
      <c r="G2094" s="24" t="s">
        <v>2198</v>
      </c>
      <c r="H2094" s="24" t="s">
        <v>27</v>
      </c>
      <c r="I2094" s="24" t="s">
        <v>2190</v>
      </c>
      <c r="J2094" s="14" t="s">
        <v>29</v>
      </c>
      <c r="K2094" s="15" t="s">
        <v>30</v>
      </c>
      <c r="L2094" s="57"/>
      <c r="M2094" s="14" t="s">
        <v>90</v>
      </c>
      <c r="N2094" s="14" t="s">
        <v>84</v>
      </c>
      <c r="O2094" s="14"/>
      <c r="P2094" s="15" t="s">
        <v>51</v>
      </c>
      <c r="Q2094" s="16">
        <v>8299</v>
      </c>
      <c r="R2094" s="17">
        <v>40</v>
      </c>
      <c r="S2094" s="18">
        <v>5726.3099999999995</v>
      </c>
      <c r="T2094" s="19" t="s">
        <v>36</v>
      </c>
      <c r="U2094" s="20" t="s">
        <v>41</v>
      </c>
      <c r="V2094" s="21" t="s">
        <v>42</v>
      </c>
      <c r="W2094" s="22">
        <v>7</v>
      </c>
      <c r="X2094" s="23"/>
    </row>
    <row r="2095" spans="1:24" s="1" customFormat="1" ht="36.950000000000003" customHeight="1" x14ac:dyDescent="0.3">
      <c r="A2095" s="24" t="s">
        <v>23</v>
      </c>
      <c r="B2095" s="24" t="s">
        <v>2250</v>
      </c>
      <c r="C2095" s="12" t="s">
        <v>2471</v>
      </c>
      <c r="D2095" s="55"/>
      <c r="E2095" s="39" t="str">
        <f>HYPERLINK("https://www.google.ru/search?q=1373353-014&amp;newwindow=1&amp;tbm=isch","Еще фото")</f>
        <v>Еще фото</v>
      </c>
      <c r="F2095" s="13"/>
      <c r="G2095" s="24" t="s">
        <v>2198</v>
      </c>
      <c r="H2095" s="24" t="s">
        <v>27</v>
      </c>
      <c r="I2095" s="24" t="s">
        <v>2190</v>
      </c>
      <c r="J2095" s="14" t="s">
        <v>29</v>
      </c>
      <c r="K2095" s="15" t="s">
        <v>30</v>
      </c>
      <c r="L2095" s="58"/>
      <c r="M2095" s="14" t="s">
        <v>90</v>
      </c>
      <c r="N2095" s="14" t="s">
        <v>84</v>
      </c>
      <c r="O2095" s="14"/>
      <c r="P2095" s="15" t="s">
        <v>51</v>
      </c>
      <c r="Q2095" s="16">
        <v>8299</v>
      </c>
      <c r="R2095" s="17">
        <v>40</v>
      </c>
      <c r="S2095" s="18">
        <v>5726.3099999999995</v>
      </c>
      <c r="T2095" s="19" t="s">
        <v>36</v>
      </c>
      <c r="U2095" s="20" t="s">
        <v>43</v>
      </c>
      <c r="V2095" s="21" t="s">
        <v>44</v>
      </c>
      <c r="W2095" s="22">
        <v>1</v>
      </c>
      <c r="X2095" s="23"/>
    </row>
    <row r="2096" spans="1:24" s="1" customFormat="1" ht="108" customHeight="1" x14ac:dyDescent="0.3">
      <c r="A2096" s="11" t="s">
        <v>23</v>
      </c>
      <c r="B2096" s="11" t="s">
        <v>2208</v>
      </c>
      <c r="C2096" s="12" t="s">
        <v>2472</v>
      </c>
      <c r="D2096" s="25"/>
      <c r="E2096" s="39" t="str">
        <f>HYPERLINK("https://www.google.ru/search?q=1373354-001&amp;newwindow=1&amp;tbm=isch","Еще фото")</f>
        <v>Еще фото</v>
      </c>
      <c r="F2096" s="13"/>
      <c r="G2096" s="11" t="s">
        <v>2198</v>
      </c>
      <c r="H2096" s="11" t="s">
        <v>27</v>
      </c>
      <c r="I2096" s="14" t="s">
        <v>2190</v>
      </c>
      <c r="J2096" s="14" t="s">
        <v>29</v>
      </c>
      <c r="K2096" s="15" t="s">
        <v>30</v>
      </c>
      <c r="L2096" s="14" t="s">
        <v>2210</v>
      </c>
      <c r="M2096" s="14" t="s">
        <v>90</v>
      </c>
      <c r="N2096" s="14" t="s">
        <v>33</v>
      </c>
      <c r="O2096" s="14"/>
      <c r="P2096" s="15" t="s">
        <v>51</v>
      </c>
      <c r="Q2096" s="16">
        <v>8999</v>
      </c>
      <c r="R2096" s="17">
        <v>40</v>
      </c>
      <c r="S2096" s="18">
        <v>6209.3099999999995</v>
      </c>
      <c r="T2096" s="19" t="s">
        <v>36</v>
      </c>
      <c r="U2096" s="20" t="s">
        <v>41</v>
      </c>
      <c r="V2096" s="21" t="s">
        <v>42</v>
      </c>
      <c r="W2096" s="22">
        <v>1</v>
      </c>
      <c r="X2096" s="23"/>
    </row>
    <row r="2097" spans="1:24" s="1" customFormat="1" ht="51.95" customHeight="1" x14ac:dyDescent="0.3">
      <c r="A2097" s="11" t="s">
        <v>23</v>
      </c>
      <c r="B2097" s="11" t="s">
        <v>2208</v>
      </c>
      <c r="C2097" s="12" t="s">
        <v>2473</v>
      </c>
      <c r="D2097" s="59"/>
      <c r="E2097" s="39" t="str">
        <f>HYPERLINK("https://www.google.ru/search?q=1373354-310&amp;newwindow=1&amp;tbm=isch","Еще фото")</f>
        <v>Еще фото</v>
      </c>
      <c r="F2097" s="13"/>
      <c r="G2097" s="11" t="s">
        <v>2198</v>
      </c>
      <c r="H2097" s="11" t="s">
        <v>27</v>
      </c>
      <c r="I2097" s="14" t="s">
        <v>2190</v>
      </c>
      <c r="J2097" s="14" t="s">
        <v>29</v>
      </c>
      <c r="K2097" s="15" t="s">
        <v>30</v>
      </c>
      <c r="L2097" s="56" t="s">
        <v>2210</v>
      </c>
      <c r="M2097" s="14" t="s">
        <v>90</v>
      </c>
      <c r="N2097" s="14" t="s">
        <v>640</v>
      </c>
      <c r="O2097" s="14"/>
      <c r="P2097" s="15" t="s">
        <v>51</v>
      </c>
      <c r="Q2097" s="16">
        <v>8999</v>
      </c>
      <c r="R2097" s="17">
        <v>40</v>
      </c>
      <c r="S2097" s="18">
        <v>6209.3099999999995</v>
      </c>
      <c r="T2097" s="19" t="s">
        <v>36</v>
      </c>
      <c r="U2097" s="20" t="s">
        <v>69</v>
      </c>
      <c r="V2097" s="21" t="s">
        <v>75</v>
      </c>
      <c r="W2097" s="22">
        <v>1</v>
      </c>
      <c r="X2097" s="23"/>
    </row>
    <row r="2098" spans="1:24" s="1" customFormat="1" ht="60.95" customHeight="1" x14ac:dyDescent="0.3">
      <c r="A2098" s="24" t="s">
        <v>23</v>
      </c>
      <c r="B2098" s="24" t="s">
        <v>2208</v>
      </c>
      <c r="C2098" s="12" t="s">
        <v>2473</v>
      </c>
      <c r="D2098" s="60"/>
      <c r="E2098" s="39" t="str">
        <f>HYPERLINK("https://www.google.ru/search?q=1373354-310&amp;newwindow=1&amp;tbm=isch","Еще фото")</f>
        <v>Еще фото</v>
      </c>
      <c r="F2098" s="13"/>
      <c r="G2098" s="24" t="s">
        <v>2198</v>
      </c>
      <c r="H2098" s="24" t="s">
        <v>27</v>
      </c>
      <c r="I2098" s="24" t="s">
        <v>2190</v>
      </c>
      <c r="J2098" s="14" t="s">
        <v>29</v>
      </c>
      <c r="K2098" s="15" t="s">
        <v>30</v>
      </c>
      <c r="L2098" s="58"/>
      <c r="M2098" s="14" t="s">
        <v>90</v>
      </c>
      <c r="N2098" s="14" t="s">
        <v>640</v>
      </c>
      <c r="O2098" s="14"/>
      <c r="P2098" s="15" t="s">
        <v>51</v>
      </c>
      <c r="Q2098" s="16">
        <v>8999</v>
      </c>
      <c r="R2098" s="17">
        <v>40</v>
      </c>
      <c r="S2098" s="18">
        <v>6209.3099999999995</v>
      </c>
      <c r="T2098" s="19" t="s">
        <v>36</v>
      </c>
      <c r="U2098" s="20" t="s">
        <v>41</v>
      </c>
      <c r="V2098" s="21" t="s">
        <v>42</v>
      </c>
      <c r="W2098" s="22">
        <v>1</v>
      </c>
      <c r="X2098" s="23"/>
    </row>
    <row r="2099" spans="1:24" s="1" customFormat="1" ht="35.1" customHeight="1" x14ac:dyDescent="0.3">
      <c r="A2099" s="11" t="s">
        <v>23</v>
      </c>
      <c r="B2099" s="11" t="s">
        <v>2474</v>
      </c>
      <c r="C2099" s="12" t="s">
        <v>2475</v>
      </c>
      <c r="D2099" s="53"/>
      <c r="E2099" s="39" t="str">
        <f>HYPERLINK("https://www.google.ru/search?q=1373357-001&amp;newwindow=1&amp;tbm=isch","Еще фото")</f>
        <v>Еще фото</v>
      </c>
      <c r="F2099" s="13" t="s">
        <v>310</v>
      </c>
      <c r="G2099" s="11" t="s">
        <v>2198</v>
      </c>
      <c r="H2099" s="11" t="s">
        <v>27</v>
      </c>
      <c r="I2099" s="14" t="s">
        <v>2190</v>
      </c>
      <c r="J2099" s="14" t="s">
        <v>29</v>
      </c>
      <c r="K2099" s="15" t="s">
        <v>30</v>
      </c>
      <c r="L2099" s="56" t="s">
        <v>2242</v>
      </c>
      <c r="M2099" s="14" t="s">
        <v>409</v>
      </c>
      <c r="N2099" s="14" t="s">
        <v>33</v>
      </c>
      <c r="O2099" s="14"/>
      <c r="P2099" s="15" t="s">
        <v>51</v>
      </c>
      <c r="Q2099" s="16">
        <v>7099</v>
      </c>
      <c r="R2099" s="17">
        <v>40</v>
      </c>
      <c r="S2099" s="18">
        <v>4898.3099999999995</v>
      </c>
      <c r="T2099" s="19" t="s">
        <v>36</v>
      </c>
      <c r="U2099" s="20" t="s">
        <v>37</v>
      </c>
      <c r="V2099" s="21" t="s">
        <v>38</v>
      </c>
      <c r="W2099" s="22">
        <v>40</v>
      </c>
      <c r="X2099" s="23"/>
    </row>
    <row r="2100" spans="1:24" s="1" customFormat="1" ht="35.1" customHeight="1" x14ac:dyDescent="0.3">
      <c r="A2100" s="24" t="s">
        <v>23</v>
      </c>
      <c r="B2100" s="24" t="s">
        <v>2474</v>
      </c>
      <c r="C2100" s="12" t="s">
        <v>2475</v>
      </c>
      <c r="D2100" s="54"/>
      <c r="E2100" s="39" t="str">
        <f>HYPERLINK("https://www.google.ru/search?q=1373357-001&amp;newwindow=1&amp;tbm=isch","Еще фото")</f>
        <v>Еще фото</v>
      </c>
      <c r="F2100" s="13" t="s">
        <v>310</v>
      </c>
      <c r="G2100" s="24" t="s">
        <v>2198</v>
      </c>
      <c r="H2100" s="24" t="s">
        <v>27</v>
      </c>
      <c r="I2100" s="24" t="s">
        <v>2190</v>
      </c>
      <c r="J2100" s="14" t="s">
        <v>29</v>
      </c>
      <c r="K2100" s="15" t="s">
        <v>30</v>
      </c>
      <c r="L2100" s="57"/>
      <c r="M2100" s="14" t="s">
        <v>409</v>
      </c>
      <c r="N2100" s="14" t="s">
        <v>33</v>
      </c>
      <c r="O2100" s="14"/>
      <c r="P2100" s="15" t="s">
        <v>51</v>
      </c>
      <c r="Q2100" s="16">
        <v>7099</v>
      </c>
      <c r="R2100" s="17">
        <v>40</v>
      </c>
      <c r="S2100" s="18">
        <v>4898.3099999999995</v>
      </c>
      <c r="T2100" s="19" t="s">
        <v>36</v>
      </c>
      <c r="U2100" s="20" t="s">
        <v>39</v>
      </c>
      <c r="V2100" s="21" t="s">
        <v>40</v>
      </c>
      <c r="W2100" s="22">
        <v>9</v>
      </c>
      <c r="X2100" s="23"/>
    </row>
    <row r="2101" spans="1:24" s="1" customFormat="1" ht="36.950000000000003" customHeight="1" x14ac:dyDescent="0.3">
      <c r="A2101" s="24" t="s">
        <v>23</v>
      </c>
      <c r="B2101" s="24" t="s">
        <v>2474</v>
      </c>
      <c r="C2101" s="12" t="s">
        <v>2475</v>
      </c>
      <c r="D2101" s="55"/>
      <c r="E2101" s="39" t="str">
        <f>HYPERLINK("https://www.google.ru/search?q=1373357-001&amp;newwindow=1&amp;tbm=isch","Еще фото")</f>
        <v>Еще фото</v>
      </c>
      <c r="F2101" s="13" t="s">
        <v>310</v>
      </c>
      <c r="G2101" s="24" t="s">
        <v>2198</v>
      </c>
      <c r="H2101" s="24" t="s">
        <v>27</v>
      </c>
      <c r="I2101" s="24" t="s">
        <v>2190</v>
      </c>
      <c r="J2101" s="14" t="s">
        <v>29</v>
      </c>
      <c r="K2101" s="15" t="s">
        <v>30</v>
      </c>
      <c r="L2101" s="58"/>
      <c r="M2101" s="14" t="s">
        <v>409</v>
      </c>
      <c r="N2101" s="14" t="s">
        <v>33</v>
      </c>
      <c r="O2101" s="14"/>
      <c r="P2101" s="15" t="s">
        <v>51</v>
      </c>
      <c r="Q2101" s="16">
        <v>7099</v>
      </c>
      <c r="R2101" s="17">
        <v>40</v>
      </c>
      <c r="S2101" s="18">
        <v>4898.3099999999995</v>
      </c>
      <c r="T2101" s="19" t="s">
        <v>36</v>
      </c>
      <c r="U2101" s="20" t="s">
        <v>41</v>
      </c>
      <c r="V2101" s="21" t="s">
        <v>42</v>
      </c>
      <c r="W2101" s="22">
        <v>30</v>
      </c>
      <c r="X2101" s="23"/>
    </row>
    <row r="2102" spans="1:24" s="1" customFormat="1" ht="26.1" customHeight="1" x14ac:dyDescent="0.3">
      <c r="A2102" s="11" t="s">
        <v>23</v>
      </c>
      <c r="B2102" s="11" t="s">
        <v>2222</v>
      </c>
      <c r="C2102" s="12" t="s">
        <v>2476</v>
      </c>
      <c r="D2102" s="53"/>
      <c r="E2102" s="39" t="str">
        <f>HYPERLINK("https://www.google.ru/search?q=1373357-025&amp;newwindow=1&amp;tbm=isch","Еще фото")</f>
        <v>Еще фото</v>
      </c>
      <c r="F2102" s="13" t="s">
        <v>98</v>
      </c>
      <c r="G2102" s="11" t="s">
        <v>2198</v>
      </c>
      <c r="H2102" s="11" t="s">
        <v>27</v>
      </c>
      <c r="I2102" s="14" t="s">
        <v>2190</v>
      </c>
      <c r="J2102" s="14" t="s">
        <v>29</v>
      </c>
      <c r="K2102" s="15" t="s">
        <v>30</v>
      </c>
      <c r="L2102" s="56" t="s">
        <v>2242</v>
      </c>
      <c r="M2102" s="14" t="s">
        <v>409</v>
      </c>
      <c r="N2102" s="14" t="s">
        <v>84</v>
      </c>
      <c r="O2102" s="14"/>
      <c r="P2102" s="15" t="s">
        <v>51</v>
      </c>
      <c r="Q2102" s="16">
        <v>8899</v>
      </c>
      <c r="R2102" s="17">
        <v>40</v>
      </c>
      <c r="S2102" s="18">
        <v>6140.3099999999995</v>
      </c>
      <c r="T2102" s="19" t="s">
        <v>36</v>
      </c>
      <c r="U2102" s="20" t="s">
        <v>37</v>
      </c>
      <c r="V2102" s="21" t="s">
        <v>38</v>
      </c>
      <c r="W2102" s="22">
        <v>22</v>
      </c>
      <c r="X2102" s="23"/>
    </row>
    <row r="2103" spans="1:24" s="1" customFormat="1" ht="26.1" customHeight="1" x14ac:dyDescent="0.3">
      <c r="A2103" s="24" t="s">
        <v>23</v>
      </c>
      <c r="B2103" s="24" t="s">
        <v>2222</v>
      </c>
      <c r="C2103" s="12" t="s">
        <v>2476</v>
      </c>
      <c r="D2103" s="54"/>
      <c r="E2103" s="39" t="str">
        <f>HYPERLINK("https://www.google.ru/search?q=1373357-025&amp;newwindow=1&amp;tbm=isch","Еще фото")</f>
        <v>Еще фото</v>
      </c>
      <c r="F2103" s="13" t="s">
        <v>98</v>
      </c>
      <c r="G2103" s="24" t="s">
        <v>2198</v>
      </c>
      <c r="H2103" s="24" t="s">
        <v>27</v>
      </c>
      <c r="I2103" s="24" t="s">
        <v>2190</v>
      </c>
      <c r="J2103" s="14" t="s">
        <v>29</v>
      </c>
      <c r="K2103" s="15" t="s">
        <v>30</v>
      </c>
      <c r="L2103" s="57"/>
      <c r="M2103" s="14" t="s">
        <v>409</v>
      </c>
      <c r="N2103" s="14" t="s">
        <v>84</v>
      </c>
      <c r="O2103" s="14"/>
      <c r="P2103" s="15" t="s">
        <v>51</v>
      </c>
      <c r="Q2103" s="16">
        <v>8899</v>
      </c>
      <c r="R2103" s="17">
        <v>40</v>
      </c>
      <c r="S2103" s="18">
        <v>6140.3099999999995</v>
      </c>
      <c r="T2103" s="19" t="s">
        <v>36</v>
      </c>
      <c r="U2103" s="20" t="s">
        <v>39</v>
      </c>
      <c r="V2103" s="21" t="s">
        <v>40</v>
      </c>
      <c r="W2103" s="22">
        <v>38</v>
      </c>
      <c r="X2103" s="23"/>
    </row>
    <row r="2104" spans="1:24" s="1" customFormat="1" ht="26.1" customHeight="1" x14ac:dyDescent="0.3">
      <c r="A2104" s="24" t="s">
        <v>23</v>
      </c>
      <c r="B2104" s="24" t="s">
        <v>2222</v>
      </c>
      <c r="C2104" s="12" t="s">
        <v>2476</v>
      </c>
      <c r="D2104" s="54"/>
      <c r="E2104" s="39" t="str">
        <f>HYPERLINK("https://www.google.ru/search?q=1373357-025&amp;newwindow=1&amp;tbm=isch","Еще фото")</f>
        <v>Еще фото</v>
      </c>
      <c r="F2104" s="13" t="s">
        <v>98</v>
      </c>
      <c r="G2104" s="24" t="s">
        <v>2198</v>
      </c>
      <c r="H2104" s="24" t="s">
        <v>27</v>
      </c>
      <c r="I2104" s="24" t="s">
        <v>2190</v>
      </c>
      <c r="J2104" s="14" t="s">
        <v>29</v>
      </c>
      <c r="K2104" s="15" t="s">
        <v>30</v>
      </c>
      <c r="L2104" s="57"/>
      <c r="M2104" s="14" t="s">
        <v>409</v>
      </c>
      <c r="N2104" s="14" t="s">
        <v>84</v>
      </c>
      <c r="O2104" s="14"/>
      <c r="P2104" s="15" t="s">
        <v>51</v>
      </c>
      <c r="Q2104" s="16">
        <v>8899</v>
      </c>
      <c r="R2104" s="17">
        <v>40</v>
      </c>
      <c r="S2104" s="18">
        <v>6140.3099999999995</v>
      </c>
      <c r="T2104" s="19" t="s">
        <v>36</v>
      </c>
      <c r="U2104" s="20" t="s">
        <v>41</v>
      </c>
      <c r="V2104" s="21" t="s">
        <v>42</v>
      </c>
      <c r="W2104" s="22">
        <v>32</v>
      </c>
      <c r="X2104" s="23"/>
    </row>
    <row r="2105" spans="1:24" s="1" customFormat="1" ht="26.1" customHeight="1" x14ac:dyDescent="0.3">
      <c r="A2105" s="24" t="s">
        <v>23</v>
      </c>
      <c r="B2105" s="24" t="s">
        <v>2222</v>
      </c>
      <c r="C2105" s="12" t="s">
        <v>2476</v>
      </c>
      <c r="D2105" s="55"/>
      <c r="E2105" s="39" t="str">
        <f>HYPERLINK("https://www.google.ru/search?q=1373357-025&amp;newwindow=1&amp;tbm=isch","Еще фото")</f>
        <v>Еще фото</v>
      </c>
      <c r="F2105" s="13" t="s">
        <v>98</v>
      </c>
      <c r="G2105" s="24" t="s">
        <v>2198</v>
      </c>
      <c r="H2105" s="24" t="s">
        <v>27</v>
      </c>
      <c r="I2105" s="24" t="s">
        <v>2190</v>
      </c>
      <c r="J2105" s="14" t="s">
        <v>29</v>
      </c>
      <c r="K2105" s="15" t="s">
        <v>30</v>
      </c>
      <c r="L2105" s="58"/>
      <c r="M2105" s="14" t="s">
        <v>409</v>
      </c>
      <c r="N2105" s="14" t="s">
        <v>84</v>
      </c>
      <c r="O2105" s="14"/>
      <c r="P2105" s="15" t="s">
        <v>51</v>
      </c>
      <c r="Q2105" s="16">
        <v>8899</v>
      </c>
      <c r="R2105" s="17">
        <v>40</v>
      </c>
      <c r="S2105" s="18">
        <v>6140.3099999999995</v>
      </c>
      <c r="T2105" s="19" t="s">
        <v>36</v>
      </c>
      <c r="U2105" s="20" t="s">
        <v>43</v>
      </c>
      <c r="V2105" s="21" t="s">
        <v>44</v>
      </c>
      <c r="W2105" s="22">
        <v>12</v>
      </c>
      <c r="X2105" s="23"/>
    </row>
    <row r="2106" spans="1:24" s="1" customFormat="1" ht="35.1" customHeight="1" x14ac:dyDescent="0.3">
      <c r="A2106" s="11" t="s">
        <v>23</v>
      </c>
      <c r="B2106" s="11" t="s">
        <v>2222</v>
      </c>
      <c r="C2106" s="12" t="s">
        <v>2477</v>
      </c>
      <c r="D2106" s="53"/>
      <c r="E2106" s="39" t="str">
        <f>HYPERLINK("https://www.google.ru/search?q=1373357-390&amp;newwindow=1&amp;tbm=isch","Еще фото")</f>
        <v>Еще фото</v>
      </c>
      <c r="F2106" s="13"/>
      <c r="G2106" s="11" t="s">
        <v>2198</v>
      </c>
      <c r="H2106" s="11" t="s">
        <v>27</v>
      </c>
      <c r="I2106" s="14" t="s">
        <v>2190</v>
      </c>
      <c r="J2106" s="14" t="s">
        <v>29</v>
      </c>
      <c r="K2106" s="15" t="s">
        <v>30</v>
      </c>
      <c r="L2106" s="56" t="s">
        <v>2224</v>
      </c>
      <c r="M2106" s="14" t="s">
        <v>409</v>
      </c>
      <c r="N2106" s="14" t="s">
        <v>640</v>
      </c>
      <c r="O2106" s="14"/>
      <c r="P2106" s="15" t="s">
        <v>51</v>
      </c>
      <c r="Q2106" s="16">
        <v>9899</v>
      </c>
      <c r="R2106" s="17">
        <v>40</v>
      </c>
      <c r="S2106" s="18">
        <v>6830.3099999999995</v>
      </c>
      <c r="T2106" s="19" t="s">
        <v>36</v>
      </c>
      <c r="U2106" s="20" t="s">
        <v>69</v>
      </c>
      <c r="V2106" s="21" t="s">
        <v>75</v>
      </c>
      <c r="W2106" s="22">
        <v>5</v>
      </c>
      <c r="X2106" s="23"/>
    </row>
    <row r="2107" spans="1:24" s="1" customFormat="1" ht="35.1" customHeight="1" x14ac:dyDescent="0.3">
      <c r="A2107" s="24" t="s">
        <v>23</v>
      </c>
      <c r="B2107" s="24" t="s">
        <v>2222</v>
      </c>
      <c r="C2107" s="12" t="s">
        <v>2477</v>
      </c>
      <c r="D2107" s="54"/>
      <c r="E2107" s="39" t="str">
        <f>HYPERLINK("https://www.google.ru/search?q=1373357-390&amp;newwindow=1&amp;tbm=isch","Еще фото")</f>
        <v>Еще фото</v>
      </c>
      <c r="F2107" s="13"/>
      <c r="G2107" s="24" t="s">
        <v>2198</v>
      </c>
      <c r="H2107" s="24" t="s">
        <v>27</v>
      </c>
      <c r="I2107" s="24" t="s">
        <v>2190</v>
      </c>
      <c r="J2107" s="14" t="s">
        <v>29</v>
      </c>
      <c r="K2107" s="15" t="s">
        <v>30</v>
      </c>
      <c r="L2107" s="57"/>
      <c r="M2107" s="14" t="s">
        <v>409</v>
      </c>
      <c r="N2107" s="14" t="s">
        <v>640</v>
      </c>
      <c r="O2107" s="14"/>
      <c r="P2107" s="15" t="s">
        <v>51</v>
      </c>
      <c r="Q2107" s="16">
        <v>9899</v>
      </c>
      <c r="R2107" s="17">
        <v>40</v>
      </c>
      <c r="S2107" s="18">
        <v>6830.3099999999995</v>
      </c>
      <c r="T2107" s="19" t="s">
        <v>36</v>
      </c>
      <c r="U2107" s="20" t="s">
        <v>37</v>
      </c>
      <c r="V2107" s="21" t="s">
        <v>38</v>
      </c>
      <c r="W2107" s="22">
        <v>1</v>
      </c>
      <c r="X2107" s="23"/>
    </row>
    <row r="2108" spans="1:24" s="1" customFormat="1" ht="36.950000000000003" customHeight="1" x14ac:dyDescent="0.3">
      <c r="A2108" s="24" t="s">
        <v>23</v>
      </c>
      <c r="B2108" s="24" t="s">
        <v>2222</v>
      </c>
      <c r="C2108" s="12" t="s">
        <v>2477</v>
      </c>
      <c r="D2108" s="55"/>
      <c r="E2108" s="39" t="str">
        <f>HYPERLINK("https://www.google.ru/search?q=1373357-390&amp;newwindow=1&amp;tbm=isch","Еще фото")</f>
        <v>Еще фото</v>
      </c>
      <c r="F2108" s="13"/>
      <c r="G2108" s="24" t="s">
        <v>2198</v>
      </c>
      <c r="H2108" s="24" t="s">
        <v>27</v>
      </c>
      <c r="I2108" s="24" t="s">
        <v>2190</v>
      </c>
      <c r="J2108" s="14" t="s">
        <v>29</v>
      </c>
      <c r="K2108" s="15" t="s">
        <v>30</v>
      </c>
      <c r="L2108" s="58"/>
      <c r="M2108" s="14" t="s">
        <v>409</v>
      </c>
      <c r="N2108" s="14" t="s">
        <v>640</v>
      </c>
      <c r="O2108" s="14"/>
      <c r="P2108" s="15" t="s">
        <v>51</v>
      </c>
      <c r="Q2108" s="16">
        <v>9899</v>
      </c>
      <c r="R2108" s="17">
        <v>40</v>
      </c>
      <c r="S2108" s="18">
        <v>6830.3099999999995</v>
      </c>
      <c r="T2108" s="19" t="s">
        <v>36</v>
      </c>
      <c r="U2108" s="20" t="s">
        <v>39</v>
      </c>
      <c r="V2108" s="21" t="s">
        <v>40</v>
      </c>
      <c r="W2108" s="22">
        <v>2</v>
      </c>
      <c r="X2108" s="23"/>
    </row>
    <row r="2109" spans="1:24" s="1" customFormat="1" ht="108" customHeight="1" x14ac:dyDescent="0.3">
      <c r="A2109" s="11" t="s">
        <v>23</v>
      </c>
      <c r="B2109" s="11" t="s">
        <v>2333</v>
      </c>
      <c r="C2109" s="12" t="s">
        <v>2478</v>
      </c>
      <c r="D2109" s="25"/>
      <c r="E2109" s="39" t="str">
        <f>HYPERLINK("https://www.google.ru/search?q=1373358-600&amp;newwindow=1&amp;tbm=isch","Еще фото")</f>
        <v>Еще фото</v>
      </c>
      <c r="F2109" s="13"/>
      <c r="G2109" s="11" t="s">
        <v>2189</v>
      </c>
      <c r="H2109" s="11" t="s">
        <v>27</v>
      </c>
      <c r="I2109" s="14" t="s">
        <v>2190</v>
      </c>
      <c r="J2109" s="14" t="s">
        <v>29</v>
      </c>
      <c r="K2109" s="15" t="s">
        <v>30</v>
      </c>
      <c r="L2109" s="14" t="s">
        <v>2393</v>
      </c>
      <c r="M2109" s="14" t="s">
        <v>90</v>
      </c>
      <c r="N2109" s="14" t="s">
        <v>2479</v>
      </c>
      <c r="O2109" s="14"/>
      <c r="P2109" s="15" t="s">
        <v>51</v>
      </c>
      <c r="Q2109" s="16">
        <v>5899</v>
      </c>
      <c r="R2109" s="17">
        <v>40</v>
      </c>
      <c r="S2109" s="18">
        <v>4070.31</v>
      </c>
      <c r="T2109" s="19" t="s">
        <v>36</v>
      </c>
      <c r="U2109" s="20" t="s">
        <v>39</v>
      </c>
      <c r="V2109" s="21" t="s">
        <v>40</v>
      </c>
      <c r="W2109" s="22">
        <v>12</v>
      </c>
      <c r="X2109" s="23"/>
    </row>
    <row r="2110" spans="1:24" s="1" customFormat="1" ht="108" customHeight="1" x14ac:dyDescent="0.3">
      <c r="A2110" s="11" t="s">
        <v>23</v>
      </c>
      <c r="B2110" s="11" t="s">
        <v>2480</v>
      </c>
      <c r="C2110" s="12" t="s">
        <v>2481</v>
      </c>
      <c r="D2110" s="25"/>
      <c r="E2110" s="39" t="str">
        <f>HYPERLINK("https://www.google.ru/search?q=1373541-001&amp;newwindow=1&amp;tbm=isch","Еще фото")</f>
        <v>Еще фото</v>
      </c>
      <c r="F2110" s="13"/>
      <c r="G2110" s="11" t="s">
        <v>2198</v>
      </c>
      <c r="H2110" s="11" t="s">
        <v>27</v>
      </c>
      <c r="I2110" s="14" t="s">
        <v>2190</v>
      </c>
      <c r="J2110" s="14" t="s">
        <v>29</v>
      </c>
      <c r="K2110" s="15" t="s">
        <v>54</v>
      </c>
      <c r="L2110" s="14" t="s">
        <v>2482</v>
      </c>
      <c r="M2110" s="14" t="s">
        <v>90</v>
      </c>
      <c r="N2110" s="14" t="s">
        <v>33</v>
      </c>
      <c r="O2110" s="14"/>
      <c r="P2110" s="15" t="s">
        <v>51</v>
      </c>
      <c r="Q2110" s="16">
        <v>7799</v>
      </c>
      <c r="R2110" s="17">
        <v>40</v>
      </c>
      <c r="S2110" s="18">
        <v>5381.3099999999995</v>
      </c>
      <c r="T2110" s="19" t="s">
        <v>36</v>
      </c>
      <c r="U2110" s="20" t="s">
        <v>114</v>
      </c>
      <c r="V2110" s="21" t="s">
        <v>115</v>
      </c>
      <c r="W2110" s="22">
        <v>8</v>
      </c>
      <c r="X2110" s="23"/>
    </row>
    <row r="2111" spans="1:24" s="1" customFormat="1" ht="108" customHeight="1" x14ac:dyDescent="0.3">
      <c r="A2111" s="11" t="s">
        <v>23</v>
      </c>
      <c r="B2111" s="11" t="s">
        <v>2483</v>
      </c>
      <c r="C2111" s="12" t="s">
        <v>2484</v>
      </c>
      <c r="D2111" s="25"/>
      <c r="E2111" s="39" t="str">
        <f>HYPERLINK("https://www.google.ru/search?q=1373675-001&amp;newwindow=1&amp;tbm=isch","Еще фото")</f>
        <v>Еще фото</v>
      </c>
      <c r="F2111" s="13"/>
      <c r="G2111" s="11" t="s">
        <v>2189</v>
      </c>
      <c r="H2111" s="11" t="s">
        <v>27</v>
      </c>
      <c r="I2111" s="14" t="s">
        <v>2190</v>
      </c>
      <c r="J2111" s="14" t="s">
        <v>212</v>
      </c>
      <c r="K2111" s="15" t="s">
        <v>30</v>
      </c>
      <c r="L2111" s="14" t="s">
        <v>2485</v>
      </c>
      <c r="M2111" s="14" t="s">
        <v>32</v>
      </c>
      <c r="N2111" s="14" t="s">
        <v>33</v>
      </c>
      <c r="O2111" s="14"/>
      <c r="P2111" s="15" t="s">
        <v>51</v>
      </c>
      <c r="Q2111" s="16">
        <v>9299</v>
      </c>
      <c r="R2111" s="17">
        <v>40</v>
      </c>
      <c r="S2111" s="18">
        <v>6416.3099999999995</v>
      </c>
      <c r="T2111" s="19" t="s">
        <v>36</v>
      </c>
      <c r="U2111" s="20" t="s">
        <v>41</v>
      </c>
      <c r="V2111" s="21" t="s">
        <v>42</v>
      </c>
      <c r="W2111" s="22">
        <v>1</v>
      </c>
      <c r="X2111" s="23"/>
    </row>
    <row r="2112" spans="1:24" s="1" customFormat="1" ht="26.1" customHeight="1" x14ac:dyDescent="0.3">
      <c r="A2112" s="11" t="s">
        <v>23</v>
      </c>
      <c r="B2112" s="11" t="s">
        <v>2486</v>
      </c>
      <c r="C2112" s="12" t="s">
        <v>2487</v>
      </c>
      <c r="D2112" s="53"/>
      <c r="E2112" s="39" t="str">
        <f>HYPERLINK("https://www.google.ru/search?q=1373880-001&amp;newwindow=1&amp;tbm=isch","Еще фото")</f>
        <v>Еще фото</v>
      </c>
      <c r="F2112" s="13" t="s">
        <v>98</v>
      </c>
      <c r="G2112" s="11" t="s">
        <v>2198</v>
      </c>
      <c r="H2112" s="11" t="s">
        <v>27</v>
      </c>
      <c r="I2112" s="14" t="s">
        <v>2190</v>
      </c>
      <c r="J2112" s="14" t="s">
        <v>29</v>
      </c>
      <c r="K2112" s="15" t="s">
        <v>30</v>
      </c>
      <c r="L2112" s="56" t="s">
        <v>2285</v>
      </c>
      <c r="M2112" s="14"/>
      <c r="N2112" s="14" t="s">
        <v>33</v>
      </c>
      <c r="O2112" s="14"/>
      <c r="P2112" s="15" t="s">
        <v>385</v>
      </c>
      <c r="Q2112" s="16">
        <v>6699</v>
      </c>
      <c r="R2112" s="17">
        <v>40</v>
      </c>
      <c r="S2112" s="18">
        <v>4622.3099999999995</v>
      </c>
      <c r="T2112" s="19" t="s">
        <v>36</v>
      </c>
      <c r="U2112" s="20" t="s">
        <v>37</v>
      </c>
      <c r="V2112" s="21" t="s">
        <v>38</v>
      </c>
      <c r="W2112" s="22">
        <v>1</v>
      </c>
      <c r="X2112" s="23"/>
    </row>
    <row r="2113" spans="1:24" s="1" customFormat="1" ht="26.1" customHeight="1" x14ac:dyDescent="0.3">
      <c r="A2113" s="24" t="s">
        <v>23</v>
      </c>
      <c r="B2113" s="24" t="s">
        <v>2486</v>
      </c>
      <c r="C2113" s="12" t="s">
        <v>2487</v>
      </c>
      <c r="D2113" s="54"/>
      <c r="E2113" s="39" t="str">
        <f>HYPERLINK("https://www.google.ru/search?q=1373880-001&amp;newwindow=1&amp;tbm=isch","Еще фото")</f>
        <v>Еще фото</v>
      </c>
      <c r="F2113" s="13" t="s">
        <v>98</v>
      </c>
      <c r="G2113" s="24" t="s">
        <v>2198</v>
      </c>
      <c r="H2113" s="24" t="s">
        <v>27</v>
      </c>
      <c r="I2113" s="24" t="s">
        <v>2190</v>
      </c>
      <c r="J2113" s="14" t="s">
        <v>29</v>
      </c>
      <c r="K2113" s="15" t="s">
        <v>30</v>
      </c>
      <c r="L2113" s="57"/>
      <c r="M2113" s="14"/>
      <c r="N2113" s="14" t="s">
        <v>33</v>
      </c>
      <c r="O2113" s="14"/>
      <c r="P2113" s="15" t="s">
        <v>385</v>
      </c>
      <c r="Q2113" s="16">
        <v>6699</v>
      </c>
      <c r="R2113" s="17">
        <v>40</v>
      </c>
      <c r="S2113" s="18">
        <v>4622.3099999999995</v>
      </c>
      <c r="T2113" s="19" t="s">
        <v>36</v>
      </c>
      <c r="U2113" s="20" t="s">
        <v>39</v>
      </c>
      <c r="V2113" s="21" t="s">
        <v>40</v>
      </c>
      <c r="W2113" s="22">
        <v>12</v>
      </c>
      <c r="X2113" s="23"/>
    </row>
    <row r="2114" spans="1:24" s="1" customFormat="1" ht="26.1" customHeight="1" x14ac:dyDescent="0.3">
      <c r="A2114" s="24" t="s">
        <v>23</v>
      </c>
      <c r="B2114" s="24" t="s">
        <v>2486</v>
      </c>
      <c r="C2114" s="12" t="s">
        <v>2487</v>
      </c>
      <c r="D2114" s="54"/>
      <c r="E2114" s="39" t="str">
        <f>HYPERLINK("https://www.google.ru/search?q=1373880-001&amp;newwindow=1&amp;tbm=isch","Еще фото")</f>
        <v>Еще фото</v>
      </c>
      <c r="F2114" s="13" t="s">
        <v>98</v>
      </c>
      <c r="G2114" s="24" t="s">
        <v>2198</v>
      </c>
      <c r="H2114" s="24" t="s">
        <v>27</v>
      </c>
      <c r="I2114" s="24" t="s">
        <v>2190</v>
      </c>
      <c r="J2114" s="14" t="s">
        <v>29</v>
      </c>
      <c r="K2114" s="15" t="s">
        <v>30</v>
      </c>
      <c r="L2114" s="57"/>
      <c r="M2114" s="14"/>
      <c r="N2114" s="14" t="s">
        <v>33</v>
      </c>
      <c r="O2114" s="14"/>
      <c r="P2114" s="15" t="s">
        <v>385</v>
      </c>
      <c r="Q2114" s="16">
        <v>6699</v>
      </c>
      <c r="R2114" s="17">
        <v>40</v>
      </c>
      <c r="S2114" s="18">
        <v>4622.3099999999995</v>
      </c>
      <c r="T2114" s="19" t="s">
        <v>36</v>
      </c>
      <c r="U2114" s="20" t="s">
        <v>41</v>
      </c>
      <c r="V2114" s="21" t="s">
        <v>42</v>
      </c>
      <c r="W2114" s="22">
        <v>11</v>
      </c>
      <c r="X2114" s="23"/>
    </row>
    <row r="2115" spans="1:24" s="1" customFormat="1" ht="26.1" customHeight="1" x14ac:dyDescent="0.3">
      <c r="A2115" s="24" t="s">
        <v>23</v>
      </c>
      <c r="B2115" s="24" t="s">
        <v>2486</v>
      </c>
      <c r="C2115" s="12" t="s">
        <v>2487</v>
      </c>
      <c r="D2115" s="55"/>
      <c r="E2115" s="39" t="str">
        <f>HYPERLINK("https://www.google.ru/search?q=1373880-001&amp;newwindow=1&amp;tbm=isch","Еще фото")</f>
        <v>Еще фото</v>
      </c>
      <c r="F2115" s="13" t="s">
        <v>98</v>
      </c>
      <c r="G2115" s="24" t="s">
        <v>2198</v>
      </c>
      <c r="H2115" s="24" t="s">
        <v>27</v>
      </c>
      <c r="I2115" s="24" t="s">
        <v>2190</v>
      </c>
      <c r="J2115" s="14" t="s">
        <v>29</v>
      </c>
      <c r="K2115" s="15" t="s">
        <v>30</v>
      </c>
      <c r="L2115" s="58"/>
      <c r="M2115" s="14"/>
      <c r="N2115" s="14" t="s">
        <v>33</v>
      </c>
      <c r="O2115" s="14"/>
      <c r="P2115" s="15" t="s">
        <v>385</v>
      </c>
      <c r="Q2115" s="16">
        <v>6699</v>
      </c>
      <c r="R2115" s="17">
        <v>40</v>
      </c>
      <c r="S2115" s="18">
        <v>4622.3099999999995</v>
      </c>
      <c r="T2115" s="19" t="s">
        <v>36</v>
      </c>
      <c r="U2115" s="20" t="s">
        <v>43</v>
      </c>
      <c r="V2115" s="21" t="s">
        <v>44</v>
      </c>
      <c r="W2115" s="22">
        <v>2</v>
      </c>
      <c r="X2115" s="23"/>
    </row>
    <row r="2116" spans="1:24" s="1" customFormat="1" ht="21" customHeight="1" x14ac:dyDescent="0.3">
      <c r="A2116" s="11" t="s">
        <v>23</v>
      </c>
      <c r="B2116" s="11" t="s">
        <v>2283</v>
      </c>
      <c r="C2116" s="26" t="s">
        <v>2488</v>
      </c>
      <c r="D2116" s="53"/>
      <c r="E2116" s="39" t="str">
        <f>HYPERLINK("https://www.google.ru/search?q=1373880-012&amp;newwindow=1&amp;tbm=isch","Еще фото")</f>
        <v>Еще фото</v>
      </c>
      <c r="F2116" s="13" t="s">
        <v>98</v>
      </c>
      <c r="G2116" s="11" t="s">
        <v>2198</v>
      </c>
      <c r="H2116" s="11" t="s">
        <v>27</v>
      </c>
      <c r="I2116" s="14" t="s">
        <v>2190</v>
      </c>
      <c r="J2116" s="14" t="s">
        <v>29</v>
      </c>
      <c r="K2116" s="15" t="s">
        <v>30</v>
      </c>
      <c r="L2116" s="56" t="s">
        <v>2285</v>
      </c>
      <c r="M2116" s="14"/>
      <c r="N2116" s="14" t="s">
        <v>84</v>
      </c>
      <c r="O2116" s="14"/>
      <c r="P2116" s="15" t="s">
        <v>385</v>
      </c>
      <c r="Q2116" s="16">
        <v>6699</v>
      </c>
      <c r="R2116" s="17">
        <v>40</v>
      </c>
      <c r="S2116" s="18">
        <v>4622.3099999999995</v>
      </c>
      <c r="T2116" s="19" t="s">
        <v>36</v>
      </c>
      <c r="U2116" s="20" t="s">
        <v>37</v>
      </c>
      <c r="V2116" s="21" t="s">
        <v>38</v>
      </c>
      <c r="W2116" s="22">
        <v>7</v>
      </c>
      <c r="X2116" s="23"/>
    </row>
    <row r="2117" spans="1:24" s="1" customFormat="1" ht="21" customHeight="1" x14ac:dyDescent="0.3">
      <c r="A2117" s="24" t="s">
        <v>23</v>
      </c>
      <c r="B2117" s="24" t="s">
        <v>2283</v>
      </c>
      <c r="C2117" s="27" t="s">
        <v>2488</v>
      </c>
      <c r="D2117" s="54"/>
      <c r="E2117" s="39" t="str">
        <f>HYPERLINK("https://www.google.ru/search?q=1373880-012&amp;newwindow=1&amp;tbm=isch","Еще фото")</f>
        <v>Еще фото</v>
      </c>
      <c r="F2117" s="13" t="s">
        <v>98</v>
      </c>
      <c r="G2117" s="24" t="s">
        <v>2198</v>
      </c>
      <c r="H2117" s="24" t="s">
        <v>27</v>
      </c>
      <c r="I2117" s="24" t="s">
        <v>2190</v>
      </c>
      <c r="J2117" s="14" t="s">
        <v>29</v>
      </c>
      <c r="K2117" s="15" t="s">
        <v>30</v>
      </c>
      <c r="L2117" s="57"/>
      <c r="M2117" s="14"/>
      <c r="N2117" s="14" t="s">
        <v>84</v>
      </c>
      <c r="O2117" s="14"/>
      <c r="P2117" s="15" t="s">
        <v>385</v>
      </c>
      <c r="Q2117" s="16">
        <v>6699</v>
      </c>
      <c r="R2117" s="17">
        <v>40</v>
      </c>
      <c r="S2117" s="18">
        <v>4622.3099999999995</v>
      </c>
      <c r="T2117" s="19" t="s">
        <v>36</v>
      </c>
      <c r="U2117" s="20" t="s">
        <v>39</v>
      </c>
      <c r="V2117" s="21" t="s">
        <v>40</v>
      </c>
      <c r="W2117" s="22">
        <v>25</v>
      </c>
      <c r="X2117" s="23"/>
    </row>
    <row r="2118" spans="1:24" s="1" customFormat="1" ht="21" customHeight="1" x14ac:dyDescent="0.3">
      <c r="A2118" s="24" t="s">
        <v>23</v>
      </c>
      <c r="B2118" s="24" t="s">
        <v>2283</v>
      </c>
      <c r="C2118" s="27" t="s">
        <v>2488</v>
      </c>
      <c r="D2118" s="54"/>
      <c r="E2118" s="39" t="str">
        <f>HYPERLINK("https://www.google.ru/search?q=1373880-012&amp;newwindow=1&amp;tbm=isch","Еще фото")</f>
        <v>Еще фото</v>
      </c>
      <c r="F2118" s="13" t="s">
        <v>98</v>
      </c>
      <c r="G2118" s="24" t="s">
        <v>2198</v>
      </c>
      <c r="H2118" s="24" t="s">
        <v>27</v>
      </c>
      <c r="I2118" s="24" t="s">
        <v>2190</v>
      </c>
      <c r="J2118" s="14" t="s">
        <v>29</v>
      </c>
      <c r="K2118" s="15" t="s">
        <v>30</v>
      </c>
      <c r="L2118" s="57"/>
      <c r="M2118" s="14"/>
      <c r="N2118" s="14" t="s">
        <v>84</v>
      </c>
      <c r="O2118" s="14"/>
      <c r="P2118" s="15" t="s">
        <v>385</v>
      </c>
      <c r="Q2118" s="16">
        <v>6699</v>
      </c>
      <c r="R2118" s="17">
        <v>40</v>
      </c>
      <c r="S2118" s="18">
        <v>4622.3099999999995</v>
      </c>
      <c r="T2118" s="19" t="s">
        <v>36</v>
      </c>
      <c r="U2118" s="20" t="s">
        <v>41</v>
      </c>
      <c r="V2118" s="21" t="s">
        <v>42</v>
      </c>
      <c r="W2118" s="22">
        <v>7</v>
      </c>
      <c r="X2118" s="23"/>
    </row>
    <row r="2119" spans="1:24" s="1" customFormat="1" ht="21" customHeight="1" x14ac:dyDescent="0.3">
      <c r="A2119" s="24" t="s">
        <v>23</v>
      </c>
      <c r="B2119" s="24" t="s">
        <v>2283</v>
      </c>
      <c r="C2119" s="27" t="s">
        <v>2488</v>
      </c>
      <c r="D2119" s="54"/>
      <c r="E2119" s="39" t="str">
        <f>HYPERLINK("https://www.google.ru/search?q=1373880-012&amp;newwindow=1&amp;tbm=isch","Еще фото")</f>
        <v>Еще фото</v>
      </c>
      <c r="F2119" s="13" t="s">
        <v>98</v>
      </c>
      <c r="G2119" s="24" t="s">
        <v>2198</v>
      </c>
      <c r="H2119" s="24" t="s">
        <v>27</v>
      </c>
      <c r="I2119" s="24" t="s">
        <v>2190</v>
      </c>
      <c r="J2119" s="14" t="s">
        <v>29</v>
      </c>
      <c r="K2119" s="15" t="s">
        <v>30</v>
      </c>
      <c r="L2119" s="57"/>
      <c r="M2119" s="14"/>
      <c r="N2119" s="14" t="s">
        <v>84</v>
      </c>
      <c r="O2119" s="14"/>
      <c r="P2119" s="15" t="s">
        <v>385</v>
      </c>
      <c r="Q2119" s="16">
        <v>6699</v>
      </c>
      <c r="R2119" s="17">
        <v>40</v>
      </c>
      <c r="S2119" s="18">
        <v>4622.3099999999995</v>
      </c>
      <c r="T2119" s="19" t="s">
        <v>36</v>
      </c>
      <c r="U2119" s="20" t="s">
        <v>43</v>
      </c>
      <c r="V2119" s="21" t="s">
        <v>44</v>
      </c>
      <c r="W2119" s="22">
        <v>12</v>
      </c>
      <c r="X2119" s="23"/>
    </row>
    <row r="2120" spans="1:24" s="1" customFormat="1" ht="32.1" customHeight="1" x14ac:dyDescent="0.3">
      <c r="A2120" s="24" t="s">
        <v>23</v>
      </c>
      <c r="B2120" s="24" t="s">
        <v>2283</v>
      </c>
      <c r="C2120" s="27" t="s">
        <v>2488</v>
      </c>
      <c r="D2120" s="55"/>
      <c r="E2120" s="39" t="str">
        <f>HYPERLINK("https://www.google.ru/search?q=1373880-012&amp;newwindow=1&amp;tbm=isch","Еще фото")</f>
        <v>Еще фото</v>
      </c>
      <c r="F2120" s="13" t="s">
        <v>98</v>
      </c>
      <c r="G2120" s="24" t="s">
        <v>2198</v>
      </c>
      <c r="H2120" s="24" t="s">
        <v>27</v>
      </c>
      <c r="I2120" s="24" t="s">
        <v>2190</v>
      </c>
      <c r="J2120" s="14" t="s">
        <v>29</v>
      </c>
      <c r="K2120" s="15" t="s">
        <v>30</v>
      </c>
      <c r="L2120" s="58"/>
      <c r="M2120" s="14"/>
      <c r="N2120" s="14" t="s">
        <v>84</v>
      </c>
      <c r="O2120" s="14"/>
      <c r="P2120" s="15" t="s">
        <v>385</v>
      </c>
      <c r="Q2120" s="16">
        <v>6699</v>
      </c>
      <c r="R2120" s="17">
        <v>40</v>
      </c>
      <c r="S2120" s="18">
        <v>4622.3099999999995</v>
      </c>
      <c r="T2120" s="19" t="s">
        <v>36</v>
      </c>
      <c r="U2120" s="20" t="s">
        <v>104</v>
      </c>
      <c r="V2120" s="21" t="s">
        <v>105</v>
      </c>
      <c r="W2120" s="22">
        <v>1</v>
      </c>
      <c r="X2120" s="23"/>
    </row>
    <row r="2121" spans="1:24" s="1" customFormat="1" ht="51.95" customHeight="1" x14ac:dyDescent="0.3">
      <c r="A2121" s="11" t="s">
        <v>23</v>
      </c>
      <c r="B2121" s="11" t="s">
        <v>2234</v>
      </c>
      <c r="C2121" s="12" t="s">
        <v>2489</v>
      </c>
      <c r="D2121" s="59"/>
      <c r="E2121" s="39" t="str">
        <f>HYPERLINK("https://www.google.ru/search?q=1373880-110&amp;newwindow=1&amp;tbm=isch","Еще фото")</f>
        <v>Еще фото</v>
      </c>
      <c r="F2121" s="13" t="s">
        <v>98</v>
      </c>
      <c r="G2121" s="11" t="s">
        <v>2198</v>
      </c>
      <c r="H2121" s="11" t="s">
        <v>27</v>
      </c>
      <c r="I2121" s="14" t="s">
        <v>2190</v>
      </c>
      <c r="J2121" s="14" t="s">
        <v>47</v>
      </c>
      <c r="K2121" s="15" t="s">
        <v>30</v>
      </c>
      <c r="L2121" s="56" t="s">
        <v>2285</v>
      </c>
      <c r="M2121" s="14"/>
      <c r="N2121" s="14" t="s">
        <v>215</v>
      </c>
      <c r="O2121" s="14"/>
      <c r="P2121" s="15" t="s">
        <v>113</v>
      </c>
      <c r="Q2121" s="16">
        <v>6699</v>
      </c>
      <c r="R2121" s="17">
        <v>40</v>
      </c>
      <c r="S2121" s="18">
        <v>4622.3099999999995</v>
      </c>
      <c r="T2121" s="19" t="s">
        <v>36</v>
      </c>
      <c r="U2121" s="20" t="s">
        <v>39</v>
      </c>
      <c r="V2121" s="21" t="s">
        <v>40</v>
      </c>
      <c r="W2121" s="22">
        <v>2</v>
      </c>
      <c r="X2121" s="23"/>
    </row>
    <row r="2122" spans="1:24" s="1" customFormat="1" ht="60.95" customHeight="1" x14ac:dyDescent="0.3">
      <c r="A2122" s="24" t="s">
        <v>23</v>
      </c>
      <c r="B2122" s="24" t="s">
        <v>2234</v>
      </c>
      <c r="C2122" s="12" t="s">
        <v>2489</v>
      </c>
      <c r="D2122" s="60"/>
      <c r="E2122" s="39" t="str">
        <f>HYPERLINK("https://www.google.ru/search?q=1373880-110&amp;newwindow=1&amp;tbm=isch","Еще фото")</f>
        <v>Еще фото</v>
      </c>
      <c r="F2122" s="13" t="s">
        <v>98</v>
      </c>
      <c r="G2122" s="24" t="s">
        <v>2198</v>
      </c>
      <c r="H2122" s="24" t="s">
        <v>27</v>
      </c>
      <c r="I2122" s="24" t="s">
        <v>2190</v>
      </c>
      <c r="J2122" s="14" t="s">
        <v>47</v>
      </c>
      <c r="K2122" s="15" t="s">
        <v>30</v>
      </c>
      <c r="L2122" s="58"/>
      <c r="M2122" s="14"/>
      <c r="N2122" s="14" t="s">
        <v>215</v>
      </c>
      <c r="O2122" s="14"/>
      <c r="P2122" s="15" t="s">
        <v>113</v>
      </c>
      <c r="Q2122" s="16">
        <v>6699</v>
      </c>
      <c r="R2122" s="17">
        <v>40</v>
      </c>
      <c r="S2122" s="18">
        <v>4622.3099999999995</v>
      </c>
      <c r="T2122" s="19" t="s">
        <v>36</v>
      </c>
      <c r="U2122" s="20" t="s">
        <v>41</v>
      </c>
      <c r="V2122" s="21" t="s">
        <v>42</v>
      </c>
      <c r="W2122" s="22">
        <v>11</v>
      </c>
      <c r="X2122" s="23"/>
    </row>
    <row r="2123" spans="1:24" s="1" customFormat="1" ht="108" customHeight="1" x14ac:dyDescent="0.3">
      <c r="A2123" s="11" t="s">
        <v>23</v>
      </c>
      <c r="B2123" s="11" t="s">
        <v>2283</v>
      </c>
      <c r="C2123" s="12" t="s">
        <v>2490</v>
      </c>
      <c r="D2123" s="25"/>
      <c r="E2123" s="39" t="str">
        <f>HYPERLINK("https://www.google.ru/search?q=1373880-203&amp;newwindow=1&amp;tbm=isch","Еще фото")</f>
        <v>Еще фото</v>
      </c>
      <c r="F2123" s="13"/>
      <c r="G2123" s="11" t="s">
        <v>2198</v>
      </c>
      <c r="H2123" s="11" t="s">
        <v>27</v>
      </c>
      <c r="I2123" s="14" t="s">
        <v>2190</v>
      </c>
      <c r="J2123" s="14" t="s">
        <v>29</v>
      </c>
      <c r="K2123" s="15" t="s">
        <v>30</v>
      </c>
      <c r="L2123" s="14" t="s">
        <v>2236</v>
      </c>
      <c r="M2123" s="14"/>
      <c r="N2123" s="14" t="s">
        <v>215</v>
      </c>
      <c r="O2123" s="14"/>
      <c r="P2123" s="15" t="s">
        <v>113</v>
      </c>
      <c r="Q2123" s="16">
        <v>6699</v>
      </c>
      <c r="R2123" s="17">
        <v>40</v>
      </c>
      <c r="S2123" s="18">
        <v>4622.3099999999995</v>
      </c>
      <c r="T2123" s="19" t="s">
        <v>36</v>
      </c>
      <c r="U2123" s="20" t="s">
        <v>41</v>
      </c>
      <c r="V2123" s="21" t="s">
        <v>42</v>
      </c>
      <c r="W2123" s="22">
        <v>2</v>
      </c>
      <c r="X2123" s="23"/>
    </row>
    <row r="2124" spans="1:24" s="1" customFormat="1" ht="21" customHeight="1" x14ac:dyDescent="0.3">
      <c r="A2124" s="11" t="s">
        <v>23</v>
      </c>
      <c r="B2124" s="11" t="s">
        <v>2234</v>
      </c>
      <c r="C2124" s="26" t="s">
        <v>2491</v>
      </c>
      <c r="D2124" s="53"/>
      <c r="E2124" s="39" t="str">
        <f>HYPERLINK("https://www.google.ru/search?q=1373880-338&amp;newwindow=1&amp;tbm=isch","Еще фото")</f>
        <v>Еще фото</v>
      </c>
      <c r="F2124" s="13" t="s">
        <v>98</v>
      </c>
      <c r="G2124" s="11" t="s">
        <v>2198</v>
      </c>
      <c r="H2124" s="11" t="s">
        <v>27</v>
      </c>
      <c r="I2124" s="14" t="s">
        <v>2190</v>
      </c>
      <c r="J2124" s="14" t="s">
        <v>47</v>
      </c>
      <c r="K2124" s="15" t="s">
        <v>30</v>
      </c>
      <c r="L2124" s="56" t="s">
        <v>2285</v>
      </c>
      <c r="M2124" s="14"/>
      <c r="N2124" s="14" t="s">
        <v>125</v>
      </c>
      <c r="O2124" s="14"/>
      <c r="P2124" s="15" t="s">
        <v>113</v>
      </c>
      <c r="Q2124" s="16">
        <v>6699</v>
      </c>
      <c r="R2124" s="17">
        <v>40</v>
      </c>
      <c r="S2124" s="18">
        <v>4622.3099999999995</v>
      </c>
      <c r="T2124" s="19" t="s">
        <v>36</v>
      </c>
      <c r="U2124" s="20" t="s">
        <v>37</v>
      </c>
      <c r="V2124" s="21" t="s">
        <v>38</v>
      </c>
      <c r="W2124" s="22">
        <v>5</v>
      </c>
      <c r="X2124" s="23"/>
    </row>
    <row r="2125" spans="1:24" s="1" customFormat="1" ht="21" customHeight="1" x14ac:dyDescent="0.3">
      <c r="A2125" s="24" t="s">
        <v>23</v>
      </c>
      <c r="B2125" s="24" t="s">
        <v>2234</v>
      </c>
      <c r="C2125" s="27" t="s">
        <v>2491</v>
      </c>
      <c r="D2125" s="54"/>
      <c r="E2125" s="39" t="str">
        <f>HYPERLINK("https://www.google.ru/search?q=1373880-338&amp;newwindow=1&amp;tbm=isch","Еще фото")</f>
        <v>Еще фото</v>
      </c>
      <c r="F2125" s="13" t="s">
        <v>98</v>
      </c>
      <c r="G2125" s="24" t="s">
        <v>2198</v>
      </c>
      <c r="H2125" s="24" t="s">
        <v>27</v>
      </c>
      <c r="I2125" s="24" t="s">
        <v>2190</v>
      </c>
      <c r="J2125" s="14" t="s">
        <v>47</v>
      </c>
      <c r="K2125" s="15" t="s">
        <v>30</v>
      </c>
      <c r="L2125" s="57"/>
      <c r="M2125" s="14"/>
      <c r="N2125" s="14" t="s">
        <v>125</v>
      </c>
      <c r="O2125" s="14"/>
      <c r="P2125" s="15" t="s">
        <v>113</v>
      </c>
      <c r="Q2125" s="16">
        <v>6699</v>
      </c>
      <c r="R2125" s="17">
        <v>40</v>
      </c>
      <c r="S2125" s="18">
        <v>4622.3099999999995</v>
      </c>
      <c r="T2125" s="19" t="s">
        <v>36</v>
      </c>
      <c r="U2125" s="20" t="s">
        <v>39</v>
      </c>
      <c r="V2125" s="21" t="s">
        <v>40</v>
      </c>
      <c r="W2125" s="22">
        <v>21</v>
      </c>
      <c r="X2125" s="23"/>
    </row>
    <row r="2126" spans="1:24" s="1" customFormat="1" ht="21" customHeight="1" x14ac:dyDescent="0.3">
      <c r="A2126" s="24" t="s">
        <v>23</v>
      </c>
      <c r="B2126" s="24" t="s">
        <v>2234</v>
      </c>
      <c r="C2126" s="27" t="s">
        <v>2491</v>
      </c>
      <c r="D2126" s="54"/>
      <c r="E2126" s="39" t="str">
        <f>HYPERLINK("https://www.google.ru/search?q=1373880-338&amp;newwindow=1&amp;tbm=isch","Еще фото")</f>
        <v>Еще фото</v>
      </c>
      <c r="F2126" s="13" t="s">
        <v>98</v>
      </c>
      <c r="G2126" s="24" t="s">
        <v>2198</v>
      </c>
      <c r="H2126" s="24" t="s">
        <v>27</v>
      </c>
      <c r="I2126" s="24" t="s">
        <v>2190</v>
      </c>
      <c r="J2126" s="14" t="s">
        <v>47</v>
      </c>
      <c r="K2126" s="15" t="s">
        <v>30</v>
      </c>
      <c r="L2126" s="57"/>
      <c r="M2126" s="14"/>
      <c r="N2126" s="14" t="s">
        <v>125</v>
      </c>
      <c r="O2126" s="14"/>
      <c r="P2126" s="15" t="s">
        <v>113</v>
      </c>
      <c r="Q2126" s="16">
        <v>6699</v>
      </c>
      <c r="R2126" s="17">
        <v>40</v>
      </c>
      <c r="S2126" s="18">
        <v>4622.3099999999995</v>
      </c>
      <c r="T2126" s="19" t="s">
        <v>36</v>
      </c>
      <c r="U2126" s="20" t="s">
        <v>41</v>
      </c>
      <c r="V2126" s="21" t="s">
        <v>42</v>
      </c>
      <c r="W2126" s="22">
        <v>16</v>
      </c>
      <c r="X2126" s="23"/>
    </row>
    <row r="2127" spans="1:24" s="1" customFormat="1" ht="21" customHeight="1" x14ac:dyDescent="0.3">
      <c r="A2127" s="24" t="s">
        <v>23</v>
      </c>
      <c r="B2127" s="24" t="s">
        <v>2234</v>
      </c>
      <c r="C2127" s="27" t="s">
        <v>2491</v>
      </c>
      <c r="D2127" s="54"/>
      <c r="E2127" s="39" t="str">
        <f>HYPERLINK("https://www.google.ru/search?q=1373880-338&amp;newwindow=1&amp;tbm=isch","Еще фото")</f>
        <v>Еще фото</v>
      </c>
      <c r="F2127" s="13" t="s">
        <v>98</v>
      </c>
      <c r="G2127" s="24" t="s">
        <v>2198</v>
      </c>
      <c r="H2127" s="24" t="s">
        <v>27</v>
      </c>
      <c r="I2127" s="24" t="s">
        <v>2190</v>
      </c>
      <c r="J2127" s="14" t="s">
        <v>47</v>
      </c>
      <c r="K2127" s="15" t="s">
        <v>30</v>
      </c>
      <c r="L2127" s="57"/>
      <c r="M2127" s="14"/>
      <c r="N2127" s="14" t="s">
        <v>125</v>
      </c>
      <c r="O2127" s="14"/>
      <c r="P2127" s="15" t="s">
        <v>113</v>
      </c>
      <c r="Q2127" s="16">
        <v>6699</v>
      </c>
      <c r="R2127" s="17">
        <v>40</v>
      </c>
      <c r="S2127" s="18">
        <v>4622.3099999999995</v>
      </c>
      <c r="T2127" s="19" t="s">
        <v>36</v>
      </c>
      <c r="U2127" s="20" t="s">
        <v>43</v>
      </c>
      <c r="V2127" s="21" t="s">
        <v>44</v>
      </c>
      <c r="W2127" s="22">
        <v>12</v>
      </c>
      <c r="X2127" s="23"/>
    </row>
    <row r="2128" spans="1:24" s="1" customFormat="1" ht="32.1" customHeight="1" x14ac:dyDescent="0.3">
      <c r="A2128" s="24" t="s">
        <v>23</v>
      </c>
      <c r="B2128" s="24" t="s">
        <v>2234</v>
      </c>
      <c r="C2128" s="27" t="s">
        <v>2491</v>
      </c>
      <c r="D2128" s="55"/>
      <c r="E2128" s="39" t="str">
        <f>HYPERLINK("https://www.google.ru/search?q=1373880-338&amp;newwindow=1&amp;tbm=isch","Еще фото")</f>
        <v>Еще фото</v>
      </c>
      <c r="F2128" s="13" t="s">
        <v>98</v>
      </c>
      <c r="G2128" s="24" t="s">
        <v>2198</v>
      </c>
      <c r="H2128" s="24" t="s">
        <v>27</v>
      </c>
      <c r="I2128" s="24" t="s">
        <v>2190</v>
      </c>
      <c r="J2128" s="14" t="s">
        <v>47</v>
      </c>
      <c r="K2128" s="15" t="s">
        <v>30</v>
      </c>
      <c r="L2128" s="58"/>
      <c r="M2128" s="14"/>
      <c r="N2128" s="14" t="s">
        <v>125</v>
      </c>
      <c r="O2128" s="14"/>
      <c r="P2128" s="15" t="s">
        <v>113</v>
      </c>
      <c r="Q2128" s="16">
        <v>6699</v>
      </c>
      <c r="R2128" s="17">
        <v>40</v>
      </c>
      <c r="S2128" s="18">
        <v>4622.3099999999995</v>
      </c>
      <c r="T2128" s="19" t="s">
        <v>36</v>
      </c>
      <c r="U2128" s="20" t="s">
        <v>104</v>
      </c>
      <c r="V2128" s="21" t="s">
        <v>105</v>
      </c>
      <c r="W2128" s="22">
        <v>4</v>
      </c>
      <c r="X2128" s="23"/>
    </row>
    <row r="2129" spans="1:24" s="1" customFormat="1" ht="21" customHeight="1" x14ac:dyDescent="0.3">
      <c r="A2129" s="11" t="s">
        <v>23</v>
      </c>
      <c r="B2129" s="11" t="s">
        <v>2234</v>
      </c>
      <c r="C2129" s="26" t="s">
        <v>2492</v>
      </c>
      <c r="D2129" s="53"/>
      <c r="E2129" s="39" t="str">
        <f>HYPERLINK("https://www.google.ru/search?q=1373880-477&amp;newwindow=1&amp;tbm=isch","Еще фото")</f>
        <v>Еще фото</v>
      </c>
      <c r="F2129" s="13"/>
      <c r="G2129" s="11" t="s">
        <v>2198</v>
      </c>
      <c r="H2129" s="11" t="s">
        <v>27</v>
      </c>
      <c r="I2129" s="14" t="s">
        <v>2190</v>
      </c>
      <c r="J2129" s="14" t="s">
        <v>47</v>
      </c>
      <c r="K2129" s="15" t="s">
        <v>30</v>
      </c>
      <c r="L2129" s="56" t="s">
        <v>2285</v>
      </c>
      <c r="M2129" s="14"/>
      <c r="N2129" s="14" t="s">
        <v>50</v>
      </c>
      <c r="O2129" s="14"/>
      <c r="P2129" s="15" t="s">
        <v>113</v>
      </c>
      <c r="Q2129" s="16">
        <v>6699</v>
      </c>
      <c r="R2129" s="17">
        <v>40</v>
      </c>
      <c r="S2129" s="18">
        <v>4622.3099999999995</v>
      </c>
      <c r="T2129" s="19" t="s">
        <v>36</v>
      </c>
      <c r="U2129" s="20" t="s">
        <v>37</v>
      </c>
      <c r="V2129" s="21" t="s">
        <v>38</v>
      </c>
      <c r="W2129" s="22">
        <v>2</v>
      </c>
      <c r="X2129" s="23"/>
    </row>
    <row r="2130" spans="1:24" s="1" customFormat="1" ht="21" customHeight="1" x14ac:dyDescent="0.3">
      <c r="A2130" s="24" t="s">
        <v>23</v>
      </c>
      <c r="B2130" s="24" t="s">
        <v>2234</v>
      </c>
      <c r="C2130" s="27" t="s">
        <v>2492</v>
      </c>
      <c r="D2130" s="54"/>
      <c r="E2130" s="39" t="str">
        <f>HYPERLINK("https://www.google.ru/search?q=1373880-477&amp;newwindow=1&amp;tbm=isch","Еще фото")</f>
        <v>Еще фото</v>
      </c>
      <c r="F2130" s="13"/>
      <c r="G2130" s="24" t="s">
        <v>2198</v>
      </c>
      <c r="H2130" s="24" t="s">
        <v>27</v>
      </c>
      <c r="I2130" s="24" t="s">
        <v>2190</v>
      </c>
      <c r="J2130" s="14" t="s">
        <v>47</v>
      </c>
      <c r="K2130" s="15" t="s">
        <v>30</v>
      </c>
      <c r="L2130" s="57"/>
      <c r="M2130" s="14"/>
      <c r="N2130" s="14" t="s">
        <v>50</v>
      </c>
      <c r="O2130" s="14"/>
      <c r="P2130" s="15" t="s">
        <v>113</v>
      </c>
      <c r="Q2130" s="16">
        <v>6699</v>
      </c>
      <c r="R2130" s="17">
        <v>40</v>
      </c>
      <c r="S2130" s="18">
        <v>4622.3099999999995</v>
      </c>
      <c r="T2130" s="19" t="s">
        <v>36</v>
      </c>
      <c r="U2130" s="20" t="s">
        <v>39</v>
      </c>
      <c r="V2130" s="21" t="s">
        <v>40</v>
      </c>
      <c r="W2130" s="22">
        <v>16</v>
      </c>
      <c r="X2130" s="23"/>
    </row>
    <row r="2131" spans="1:24" s="1" customFormat="1" ht="21" customHeight="1" x14ac:dyDescent="0.3">
      <c r="A2131" s="24" t="s">
        <v>23</v>
      </c>
      <c r="B2131" s="24" t="s">
        <v>2234</v>
      </c>
      <c r="C2131" s="27" t="s">
        <v>2492</v>
      </c>
      <c r="D2131" s="54"/>
      <c r="E2131" s="39" t="str">
        <f>HYPERLINK("https://www.google.ru/search?q=1373880-477&amp;newwindow=1&amp;tbm=isch","Еще фото")</f>
        <v>Еще фото</v>
      </c>
      <c r="F2131" s="13"/>
      <c r="G2131" s="24" t="s">
        <v>2198</v>
      </c>
      <c r="H2131" s="24" t="s">
        <v>27</v>
      </c>
      <c r="I2131" s="24" t="s">
        <v>2190</v>
      </c>
      <c r="J2131" s="14" t="s">
        <v>47</v>
      </c>
      <c r="K2131" s="15" t="s">
        <v>30</v>
      </c>
      <c r="L2131" s="57"/>
      <c r="M2131" s="14"/>
      <c r="N2131" s="14" t="s">
        <v>50</v>
      </c>
      <c r="O2131" s="14"/>
      <c r="P2131" s="15" t="s">
        <v>113</v>
      </c>
      <c r="Q2131" s="16">
        <v>6699</v>
      </c>
      <c r="R2131" s="17">
        <v>40</v>
      </c>
      <c r="S2131" s="18">
        <v>4622.3099999999995</v>
      </c>
      <c r="T2131" s="19" t="s">
        <v>36</v>
      </c>
      <c r="U2131" s="20" t="s">
        <v>41</v>
      </c>
      <c r="V2131" s="21" t="s">
        <v>42</v>
      </c>
      <c r="W2131" s="22">
        <v>17</v>
      </c>
      <c r="X2131" s="23"/>
    </row>
    <row r="2132" spans="1:24" s="1" customFormat="1" ht="21" customHeight="1" x14ac:dyDescent="0.3">
      <c r="A2132" s="24" t="s">
        <v>23</v>
      </c>
      <c r="B2132" s="24" t="s">
        <v>2234</v>
      </c>
      <c r="C2132" s="27" t="s">
        <v>2492</v>
      </c>
      <c r="D2132" s="54"/>
      <c r="E2132" s="39" t="str">
        <f>HYPERLINK("https://www.google.ru/search?q=1373880-477&amp;newwindow=1&amp;tbm=isch","Еще фото")</f>
        <v>Еще фото</v>
      </c>
      <c r="F2132" s="13"/>
      <c r="G2132" s="24" t="s">
        <v>2198</v>
      </c>
      <c r="H2132" s="24" t="s">
        <v>27</v>
      </c>
      <c r="I2132" s="24" t="s">
        <v>2190</v>
      </c>
      <c r="J2132" s="14" t="s">
        <v>47</v>
      </c>
      <c r="K2132" s="15" t="s">
        <v>30</v>
      </c>
      <c r="L2132" s="57"/>
      <c r="M2132" s="14"/>
      <c r="N2132" s="14" t="s">
        <v>50</v>
      </c>
      <c r="O2132" s="14"/>
      <c r="P2132" s="15" t="s">
        <v>113</v>
      </c>
      <c r="Q2132" s="16">
        <v>6699</v>
      </c>
      <c r="R2132" s="17">
        <v>40</v>
      </c>
      <c r="S2132" s="18">
        <v>4622.3099999999995</v>
      </c>
      <c r="T2132" s="19" t="s">
        <v>36</v>
      </c>
      <c r="U2132" s="20" t="s">
        <v>43</v>
      </c>
      <c r="V2132" s="21" t="s">
        <v>44</v>
      </c>
      <c r="W2132" s="22">
        <v>10</v>
      </c>
      <c r="X2132" s="23"/>
    </row>
    <row r="2133" spans="1:24" s="1" customFormat="1" ht="32.1" customHeight="1" x14ac:dyDescent="0.3">
      <c r="A2133" s="24" t="s">
        <v>23</v>
      </c>
      <c r="B2133" s="24" t="s">
        <v>2234</v>
      </c>
      <c r="C2133" s="27" t="s">
        <v>2492</v>
      </c>
      <c r="D2133" s="55"/>
      <c r="E2133" s="39" t="str">
        <f>HYPERLINK("https://www.google.ru/search?q=1373880-477&amp;newwindow=1&amp;tbm=isch","Еще фото")</f>
        <v>Еще фото</v>
      </c>
      <c r="F2133" s="13"/>
      <c r="G2133" s="24" t="s">
        <v>2198</v>
      </c>
      <c r="H2133" s="24" t="s">
        <v>27</v>
      </c>
      <c r="I2133" s="24" t="s">
        <v>2190</v>
      </c>
      <c r="J2133" s="14" t="s">
        <v>47</v>
      </c>
      <c r="K2133" s="15" t="s">
        <v>30</v>
      </c>
      <c r="L2133" s="58"/>
      <c r="M2133" s="14"/>
      <c r="N2133" s="14" t="s">
        <v>50</v>
      </c>
      <c r="O2133" s="14"/>
      <c r="P2133" s="15" t="s">
        <v>113</v>
      </c>
      <c r="Q2133" s="16">
        <v>6699</v>
      </c>
      <c r="R2133" s="17">
        <v>40</v>
      </c>
      <c r="S2133" s="18">
        <v>4622.3099999999995</v>
      </c>
      <c r="T2133" s="19" t="s">
        <v>36</v>
      </c>
      <c r="U2133" s="20" t="s">
        <v>104</v>
      </c>
      <c r="V2133" s="21" t="s">
        <v>105</v>
      </c>
      <c r="W2133" s="22">
        <v>5</v>
      </c>
      <c r="X2133" s="23"/>
    </row>
    <row r="2134" spans="1:24" s="1" customFormat="1" ht="35.1" customHeight="1" x14ac:dyDescent="0.3">
      <c r="A2134" s="11" t="s">
        <v>23</v>
      </c>
      <c r="B2134" s="11" t="s">
        <v>2234</v>
      </c>
      <c r="C2134" s="12" t="s">
        <v>2493</v>
      </c>
      <c r="D2134" s="53"/>
      <c r="E2134" s="39" t="str">
        <f>HYPERLINK("https://www.google.ru/search?q=1373880-842&amp;newwindow=1&amp;tbm=isch","Еще фото")</f>
        <v>Еще фото</v>
      </c>
      <c r="F2134" s="13" t="s">
        <v>98</v>
      </c>
      <c r="G2134" s="11" t="s">
        <v>2198</v>
      </c>
      <c r="H2134" s="11" t="s">
        <v>27</v>
      </c>
      <c r="I2134" s="14" t="s">
        <v>2190</v>
      </c>
      <c r="J2134" s="14" t="s">
        <v>47</v>
      </c>
      <c r="K2134" s="15" t="s">
        <v>30</v>
      </c>
      <c r="L2134" s="56" t="s">
        <v>2236</v>
      </c>
      <c r="M2134" s="14"/>
      <c r="N2134" s="14" t="s">
        <v>434</v>
      </c>
      <c r="O2134" s="14"/>
      <c r="P2134" s="15" t="s">
        <v>113</v>
      </c>
      <c r="Q2134" s="16">
        <v>8199</v>
      </c>
      <c r="R2134" s="17">
        <v>40</v>
      </c>
      <c r="S2134" s="18">
        <v>5657.3099999999995</v>
      </c>
      <c r="T2134" s="19" t="s">
        <v>36</v>
      </c>
      <c r="U2134" s="20" t="s">
        <v>37</v>
      </c>
      <c r="V2134" s="21" t="s">
        <v>38</v>
      </c>
      <c r="W2134" s="22">
        <v>2</v>
      </c>
      <c r="X2134" s="23"/>
    </row>
    <row r="2135" spans="1:24" s="1" customFormat="1" ht="35.1" customHeight="1" x14ac:dyDescent="0.3">
      <c r="A2135" s="24" t="s">
        <v>23</v>
      </c>
      <c r="B2135" s="24" t="s">
        <v>2234</v>
      </c>
      <c r="C2135" s="12" t="s">
        <v>2493</v>
      </c>
      <c r="D2135" s="54"/>
      <c r="E2135" s="39" t="str">
        <f>HYPERLINK("https://www.google.ru/search?q=1373880-842&amp;newwindow=1&amp;tbm=isch","Еще фото")</f>
        <v>Еще фото</v>
      </c>
      <c r="F2135" s="13" t="s">
        <v>98</v>
      </c>
      <c r="G2135" s="24" t="s">
        <v>2198</v>
      </c>
      <c r="H2135" s="24" t="s">
        <v>27</v>
      </c>
      <c r="I2135" s="24" t="s">
        <v>2190</v>
      </c>
      <c r="J2135" s="14" t="s">
        <v>47</v>
      </c>
      <c r="K2135" s="15" t="s">
        <v>30</v>
      </c>
      <c r="L2135" s="57"/>
      <c r="M2135" s="14"/>
      <c r="N2135" s="14" t="s">
        <v>434</v>
      </c>
      <c r="O2135" s="14"/>
      <c r="P2135" s="15" t="s">
        <v>113</v>
      </c>
      <c r="Q2135" s="16">
        <v>8199</v>
      </c>
      <c r="R2135" s="17">
        <v>40</v>
      </c>
      <c r="S2135" s="18">
        <v>5657.3099999999995</v>
      </c>
      <c r="T2135" s="19" t="s">
        <v>36</v>
      </c>
      <c r="U2135" s="20" t="s">
        <v>41</v>
      </c>
      <c r="V2135" s="21" t="s">
        <v>42</v>
      </c>
      <c r="W2135" s="22">
        <v>7</v>
      </c>
      <c r="X2135" s="23"/>
    </row>
    <row r="2136" spans="1:24" s="1" customFormat="1" ht="36.950000000000003" customHeight="1" x14ac:dyDescent="0.3">
      <c r="A2136" s="24" t="s">
        <v>23</v>
      </c>
      <c r="B2136" s="24" t="s">
        <v>2234</v>
      </c>
      <c r="C2136" s="12" t="s">
        <v>2493</v>
      </c>
      <c r="D2136" s="55"/>
      <c r="E2136" s="39" t="str">
        <f>HYPERLINK("https://www.google.ru/search?q=1373880-842&amp;newwindow=1&amp;tbm=isch","Еще фото")</f>
        <v>Еще фото</v>
      </c>
      <c r="F2136" s="13" t="s">
        <v>98</v>
      </c>
      <c r="G2136" s="24" t="s">
        <v>2198</v>
      </c>
      <c r="H2136" s="24" t="s">
        <v>27</v>
      </c>
      <c r="I2136" s="24" t="s">
        <v>2190</v>
      </c>
      <c r="J2136" s="14" t="s">
        <v>47</v>
      </c>
      <c r="K2136" s="15" t="s">
        <v>30</v>
      </c>
      <c r="L2136" s="58"/>
      <c r="M2136" s="14"/>
      <c r="N2136" s="14" t="s">
        <v>434</v>
      </c>
      <c r="O2136" s="14"/>
      <c r="P2136" s="15" t="s">
        <v>113</v>
      </c>
      <c r="Q2136" s="16">
        <v>8199</v>
      </c>
      <c r="R2136" s="17">
        <v>40</v>
      </c>
      <c r="S2136" s="18">
        <v>5657.3099999999995</v>
      </c>
      <c r="T2136" s="19" t="s">
        <v>36</v>
      </c>
      <c r="U2136" s="20" t="s">
        <v>43</v>
      </c>
      <c r="V2136" s="21" t="s">
        <v>44</v>
      </c>
      <c r="W2136" s="22">
        <v>6</v>
      </c>
      <c r="X2136" s="23"/>
    </row>
    <row r="2137" spans="1:24" s="1" customFormat="1" ht="14.1" customHeight="1" x14ac:dyDescent="0.3">
      <c r="A2137" s="11" t="s">
        <v>23</v>
      </c>
      <c r="B2137" s="11" t="s">
        <v>2494</v>
      </c>
      <c r="C2137" s="12" t="s">
        <v>2495</v>
      </c>
      <c r="D2137" s="53"/>
      <c r="E2137" s="39" t="str">
        <f t="shared" ref="E2137:E2143" si="50">HYPERLINK("https://www.google.ru/search?q=1373881-012&amp;newwindow=1&amp;tbm=isch","Еще фото")</f>
        <v>Еще фото</v>
      </c>
      <c r="F2137" s="13" t="s">
        <v>310</v>
      </c>
      <c r="G2137" s="11" t="s">
        <v>2198</v>
      </c>
      <c r="H2137" s="11" t="s">
        <v>27</v>
      </c>
      <c r="I2137" s="14" t="s">
        <v>2190</v>
      </c>
      <c r="J2137" s="14" t="s">
        <v>29</v>
      </c>
      <c r="K2137" s="15" t="s">
        <v>30</v>
      </c>
      <c r="L2137" s="56" t="s">
        <v>2496</v>
      </c>
      <c r="M2137" s="14" t="s">
        <v>49</v>
      </c>
      <c r="N2137" s="14" t="s">
        <v>84</v>
      </c>
      <c r="O2137" s="14" t="s">
        <v>34</v>
      </c>
      <c r="P2137" s="15" t="s">
        <v>113</v>
      </c>
      <c r="Q2137" s="16">
        <v>8699</v>
      </c>
      <c r="R2137" s="17">
        <v>40</v>
      </c>
      <c r="S2137" s="18">
        <v>6002.3099999999995</v>
      </c>
      <c r="T2137" s="19" t="s">
        <v>36</v>
      </c>
      <c r="U2137" s="20" t="s">
        <v>69</v>
      </c>
      <c r="V2137" s="21" t="s">
        <v>75</v>
      </c>
      <c r="W2137" s="22">
        <v>1</v>
      </c>
      <c r="X2137" s="23"/>
    </row>
    <row r="2138" spans="1:24" s="1" customFormat="1" ht="14.1" customHeight="1" x14ac:dyDescent="0.3">
      <c r="A2138" s="24" t="s">
        <v>23</v>
      </c>
      <c r="B2138" s="24" t="s">
        <v>2494</v>
      </c>
      <c r="C2138" s="12" t="s">
        <v>2495</v>
      </c>
      <c r="D2138" s="54"/>
      <c r="E2138" s="39" t="str">
        <f t="shared" si="50"/>
        <v>Еще фото</v>
      </c>
      <c r="F2138" s="13" t="s">
        <v>310</v>
      </c>
      <c r="G2138" s="24" t="s">
        <v>2198</v>
      </c>
      <c r="H2138" s="24" t="s">
        <v>27</v>
      </c>
      <c r="I2138" s="24" t="s">
        <v>2190</v>
      </c>
      <c r="J2138" s="14" t="s">
        <v>29</v>
      </c>
      <c r="K2138" s="15" t="s">
        <v>30</v>
      </c>
      <c r="L2138" s="57"/>
      <c r="M2138" s="14" t="s">
        <v>49</v>
      </c>
      <c r="N2138" s="14" t="s">
        <v>84</v>
      </c>
      <c r="O2138" s="14" t="s">
        <v>34</v>
      </c>
      <c r="P2138" s="15" t="s">
        <v>113</v>
      </c>
      <c r="Q2138" s="16">
        <v>8699</v>
      </c>
      <c r="R2138" s="17">
        <v>40</v>
      </c>
      <c r="S2138" s="18">
        <v>6002.3099999999995</v>
      </c>
      <c r="T2138" s="19" t="s">
        <v>36</v>
      </c>
      <c r="U2138" s="20" t="s">
        <v>37</v>
      </c>
      <c r="V2138" s="21" t="s">
        <v>38</v>
      </c>
      <c r="W2138" s="22">
        <v>28</v>
      </c>
      <c r="X2138" s="23"/>
    </row>
    <row r="2139" spans="1:24" s="1" customFormat="1" ht="14.1" customHeight="1" x14ac:dyDescent="0.3">
      <c r="A2139" s="24" t="s">
        <v>23</v>
      </c>
      <c r="B2139" s="24" t="s">
        <v>2494</v>
      </c>
      <c r="C2139" s="12" t="s">
        <v>2495</v>
      </c>
      <c r="D2139" s="54"/>
      <c r="E2139" s="39" t="str">
        <f t="shared" si="50"/>
        <v>Еще фото</v>
      </c>
      <c r="F2139" s="13" t="s">
        <v>310</v>
      </c>
      <c r="G2139" s="24" t="s">
        <v>2198</v>
      </c>
      <c r="H2139" s="24" t="s">
        <v>27</v>
      </c>
      <c r="I2139" s="24" t="s">
        <v>2190</v>
      </c>
      <c r="J2139" s="14" t="s">
        <v>29</v>
      </c>
      <c r="K2139" s="15" t="s">
        <v>30</v>
      </c>
      <c r="L2139" s="57"/>
      <c r="M2139" s="14" t="s">
        <v>49</v>
      </c>
      <c r="N2139" s="14" t="s">
        <v>84</v>
      </c>
      <c r="O2139" s="14" t="s">
        <v>34</v>
      </c>
      <c r="P2139" s="15" t="s">
        <v>113</v>
      </c>
      <c r="Q2139" s="16">
        <v>8699</v>
      </c>
      <c r="R2139" s="17">
        <v>40</v>
      </c>
      <c r="S2139" s="18">
        <v>6002.3099999999995</v>
      </c>
      <c r="T2139" s="19" t="s">
        <v>36</v>
      </c>
      <c r="U2139" s="20" t="s">
        <v>39</v>
      </c>
      <c r="V2139" s="21" t="s">
        <v>40</v>
      </c>
      <c r="W2139" s="22">
        <v>56</v>
      </c>
      <c r="X2139" s="23"/>
    </row>
    <row r="2140" spans="1:24" s="1" customFormat="1" ht="14.1" customHeight="1" x14ac:dyDescent="0.3">
      <c r="A2140" s="24" t="s">
        <v>23</v>
      </c>
      <c r="B2140" s="24" t="s">
        <v>2494</v>
      </c>
      <c r="C2140" s="12" t="s">
        <v>2495</v>
      </c>
      <c r="D2140" s="54"/>
      <c r="E2140" s="39" t="str">
        <f t="shared" si="50"/>
        <v>Еще фото</v>
      </c>
      <c r="F2140" s="13" t="s">
        <v>310</v>
      </c>
      <c r="G2140" s="24" t="s">
        <v>2198</v>
      </c>
      <c r="H2140" s="24" t="s">
        <v>27</v>
      </c>
      <c r="I2140" s="24" t="s">
        <v>2190</v>
      </c>
      <c r="J2140" s="14" t="s">
        <v>29</v>
      </c>
      <c r="K2140" s="15" t="s">
        <v>30</v>
      </c>
      <c r="L2140" s="57"/>
      <c r="M2140" s="14" t="s">
        <v>49</v>
      </c>
      <c r="N2140" s="14" t="s">
        <v>84</v>
      </c>
      <c r="O2140" s="14" t="s">
        <v>34</v>
      </c>
      <c r="P2140" s="15" t="s">
        <v>113</v>
      </c>
      <c r="Q2140" s="16">
        <v>8699</v>
      </c>
      <c r="R2140" s="17">
        <v>40</v>
      </c>
      <c r="S2140" s="18">
        <v>6002.3099999999995</v>
      </c>
      <c r="T2140" s="19" t="s">
        <v>36</v>
      </c>
      <c r="U2140" s="20" t="s">
        <v>41</v>
      </c>
      <c r="V2140" s="21" t="s">
        <v>42</v>
      </c>
      <c r="W2140" s="22">
        <v>36</v>
      </c>
      <c r="X2140" s="23"/>
    </row>
    <row r="2141" spans="1:24" s="1" customFormat="1" ht="14.1" customHeight="1" x14ac:dyDescent="0.3">
      <c r="A2141" s="24" t="s">
        <v>23</v>
      </c>
      <c r="B2141" s="24" t="s">
        <v>2494</v>
      </c>
      <c r="C2141" s="12" t="s">
        <v>2495</v>
      </c>
      <c r="D2141" s="54"/>
      <c r="E2141" s="39" t="str">
        <f t="shared" si="50"/>
        <v>Еще фото</v>
      </c>
      <c r="F2141" s="13" t="s">
        <v>310</v>
      </c>
      <c r="G2141" s="24" t="s">
        <v>2198</v>
      </c>
      <c r="H2141" s="24" t="s">
        <v>27</v>
      </c>
      <c r="I2141" s="24" t="s">
        <v>2190</v>
      </c>
      <c r="J2141" s="14" t="s">
        <v>29</v>
      </c>
      <c r="K2141" s="15" t="s">
        <v>30</v>
      </c>
      <c r="L2141" s="57"/>
      <c r="M2141" s="14" t="s">
        <v>49</v>
      </c>
      <c r="N2141" s="14" t="s">
        <v>84</v>
      </c>
      <c r="O2141" s="14" t="s">
        <v>34</v>
      </c>
      <c r="P2141" s="15" t="s">
        <v>113</v>
      </c>
      <c r="Q2141" s="16">
        <v>8699</v>
      </c>
      <c r="R2141" s="17">
        <v>40</v>
      </c>
      <c r="S2141" s="18">
        <v>6002.3099999999995</v>
      </c>
      <c r="T2141" s="19" t="s">
        <v>36</v>
      </c>
      <c r="U2141" s="20" t="s">
        <v>43</v>
      </c>
      <c r="V2141" s="21" t="s">
        <v>44</v>
      </c>
      <c r="W2141" s="22">
        <v>16</v>
      </c>
      <c r="X2141" s="23"/>
    </row>
    <row r="2142" spans="1:24" s="1" customFormat="1" ht="14.1" customHeight="1" x14ac:dyDescent="0.3">
      <c r="A2142" s="24" t="s">
        <v>23</v>
      </c>
      <c r="B2142" s="24" t="s">
        <v>2494</v>
      </c>
      <c r="C2142" s="12" t="s">
        <v>2495</v>
      </c>
      <c r="D2142" s="54"/>
      <c r="E2142" s="39" t="str">
        <f t="shared" si="50"/>
        <v>Еще фото</v>
      </c>
      <c r="F2142" s="13" t="s">
        <v>310</v>
      </c>
      <c r="G2142" s="24" t="s">
        <v>2198</v>
      </c>
      <c r="H2142" s="24" t="s">
        <v>27</v>
      </c>
      <c r="I2142" s="24" t="s">
        <v>2190</v>
      </c>
      <c r="J2142" s="14" t="s">
        <v>29</v>
      </c>
      <c r="K2142" s="15" t="s">
        <v>30</v>
      </c>
      <c r="L2142" s="57"/>
      <c r="M2142" s="14" t="s">
        <v>49</v>
      </c>
      <c r="N2142" s="14" t="s">
        <v>84</v>
      </c>
      <c r="O2142" s="14" t="s">
        <v>34</v>
      </c>
      <c r="P2142" s="15" t="s">
        <v>113</v>
      </c>
      <c r="Q2142" s="16">
        <v>8699</v>
      </c>
      <c r="R2142" s="17">
        <v>40</v>
      </c>
      <c r="S2142" s="18">
        <v>6002.3099999999995</v>
      </c>
      <c r="T2142" s="19" t="s">
        <v>36</v>
      </c>
      <c r="U2142" s="20" t="s">
        <v>104</v>
      </c>
      <c r="V2142" s="21" t="s">
        <v>105</v>
      </c>
      <c r="W2142" s="22">
        <v>2</v>
      </c>
      <c r="X2142" s="23"/>
    </row>
    <row r="2143" spans="1:24" s="1" customFormat="1" ht="17.100000000000001" customHeight="1" x14ac:dyDescent="0.3">
      <c r="A2143" s="24" t="s">
        <v>23</v>
      </c>
      <c r="B2143" s="24" t="s">
        <v>2494</v>
      </c>
      <c r="C2143" s="12" t="s">
        <v>2495</v>
      </c>
      <c r="D2143" s="55"/>
      <c r="E2143" s="39" t="str">
        <f t="shared" si="50"/>
        <v>Еще фото</v>
      </c>
      <c r="F2143" s="13" t="s">
        <v>310</v>
      </c>
      <c r="G2143" s="24" t="s">
        <v>2198</v>
      </c>
      <c r="H2143" s="24" t="s">
        <v>27</v>
      </c>
      <c r="I2143" s="24" t="s">
        <v>2190</v>
      </c>
      <c r="J2143" s="14" t="s">
        <v>29</v>
      </c>
      <c r="K2143" s="15" t="s">
        <v>30</v>
      </c>
      <c r="L2143" s="58"/>
      <c r="M2143" s="14" t="s">
        <v>49</v>
      </c>
      <c r="N2143" s="14" t="s">
        <v>84</v>
      </c>
      <c r="O2143" s="14" t="s">
        <v>34</v>
      </c>
      <c r="P2143" s="15" t="s">
        <v>113</v>
      </c>
      <c r="Q2143" s="16">
        <v>8699</v>
      </c>
      <c r="R2143" s="17">
        <v>40</v>
      </c>
      <c r="S2143" s="18">
        <v>6002.3099999999995</v>
      </c>
      <c r="T2143" s="19" t="s">
        <v>36</v>
      </c>
      <c r="U2143" s="20" t="s">
        <v>94</v>
      </c>
      <c r="V2143" s="21" t="s">
        <v>95</v>
      </c>
      <c r="W2143" s="22">
        <v>1</v>
      </c>
      <c r="X2143" s="23"/>
    </row>
    <row r="2144" spans="1:24" s="1" customFormat="1" ht="108" customHeight="1" x14ac:dyDescent="0.3">
      <c r="A2144" s="11" t="s">
        <v>23</v>
      </c>
      <c r="B2144" s="11" t="s">
        <v>2494</v>
      </c>
      <c r="C2144" s="12" t="s">
        <v>2497</v>
      </c>
      <c r="D2144" s="25"/>
      <c r="E2144" s="39" t="str">
        <f>HYPERLINK("https://www.google.ru/search?q=1373881-400&amp;newwindow=1&amp;tbm=isch","Еще фото")</f>
        <v>Еще фото</v>
      </c>
      <c r="F2144" s="13"/>
      <c r="G2144" s="11" t="s">
        <v>2198</v>
      </c>
      <c r="H2144" s="11" t="s">
        <v>27</v>
      </c>
      <c r="I2144" s="14" t="s">
        <v>2190</v>
      </c>
      <c r="J2144" s="14" t="s">
        <v>29</v>
      </c>
      <c r="K2144" s="15" t="s">
        <v>30</v>
      </c>
      <c r="L2144" s="14" t="s">
        <v>2496</v>
      </c>
      <c r="M2144" s="14"/>
      <c r="N2144" s="14" t="s">
        <v>2086</v>
      </c>
      <c r="O2144" s="14"/>
      <c r="P2144" s="15" t="s">
        <v>113</v>
      </c>
      <c r="Q2144" s="16">
        <v>10199</v>
      </c>
      <c r="R2144" s="17">
        <v>40</v>
      </c>
      <c r="S2144" s="18">
        <v>7037.3099999999995</v>
      </c>
      <c r="T2144" s="19" t="s">
        <v>36</v>
      </c>
      <c r="U2144" s="20" t="s">
        <v>41</v>
      </c>
      <c r="V2144" s="21" t="s">
        <v>42</v>
      </c>
      <c r="W2144" s="22">
        <v>4</v>
      </c>
      <c r="X2144" s="23"/>
    </row>
    <row r="2145" spans="1:24" s="1" customFormat="1" ht="26.1" customHeight="1" x14ac:dyDescent="0.3">
      <c r="A2145" s="11" t="s">
        <v>23</v>
      </c>
      <c r="B2145" s="11" t="s">
        <v>2211</v>
      </c>
      <c r="C2145" s="12" t="s">
        <v>2498</v>
      </c>
      <c r="D2145" s="53"/>
      <c r="E2145" s="39" t="str">
        <f>HYPERLINK("https://www.google.ru/search?q=1373881-402&amp;newwindow=1&amp;tbm=isch","Еще фото")</f>
        <v>Еще фото</v>
      </c>
      <c r="F2145" s="13"/>
      <c r="G2145" s="11" t="s">
        <v>2198</v>
      </c>
      <c r="H2145" s="11" t="s">
        <v>27</v>
      </c>
      <c r="I2145" s="14" t="s">
        <v>2190</v>
      </c>
      <c r="J2145" s="14" t="s">
        <v>47</v>
      </c>
      <c r="K2145" s="15" t="s">
        <v>30</v>
      </c>
      <c r="L2145" s="56" t="s">
        <v>2499</v>
      </c>
      <c r="M2145" s="14"/>
      <c r="N2145" s="14" t="s">
        <v>91</v>
      </c>
      <c r="O2145" s="14"/>
      <c r="P2145" s="15" t="s">
        <v>113</v>
      </c>
      <c r="Q2145" s="16">
        <v>9199</v>
      </c>
      <c r="R2145" s="17">
        <v>40</v>
      </c>
      <c r="S2145" s="18">
        <v>6347.3099999999995</v>
      </c>
      <c r="T2145" s="19" t="s">
        <v>36</v>
      </c>
      <c r="U2145" s="20" t="s">
        <v>37</v>
      </c>
      <c r="V2145" s="21" t="s">
        <v>38</v>
      </c>
      <c r="W2145" s="22">
        <v>6</v>
      </c>
      <c r="X2145" s="23"/>
    </row>
    <row r="2146" spans="1:24" s="1" customFormat="1" ht="26.1" customHeight="1" x14ac:dyDescent="0.3">
      <c r="A2146" s="24" t="s">
        <v>23</v>
      </c>
      <c r="B2146" s="24" t="s">
        <v>2211</v>
      </c>
      <c r="C2146" s="12" t="s">
        <v>2498</v>
      </c>
      <c r="D2146" s="54"/>
      <c r="E2146" s="39" t="str">
        <f>HYPERLINK("https://www.google.ru/search?q=1373881-402&amp;newwindow=1&amp;tbm=isch","Еще фото")</f>
        <v>Еще фото</v>
      </c>
      <c r="F2146" s="13"/>
      <c r="G2146" s="24" t="s">
        <v>2198</v>
      </c>
      <c r="H2146" s="24" t="s">
        <v>27</v>
      </c>
      <c r="I2146" s="24" t="s">
        <v>2190</v>
      </c>
      <c r="J2146" s="14" t="s">
        <v>47</v>
      </c>
      <c r="K2146" s="15" t="s">
        <v>30</v>
      </c>
      <c r="L2146" s="57"/>
      <c r="M2146" s="14"/>
      <c r="N2146" s="14" t="s">
        <v>91</v>
      </c>
      <c r="O2146" s="14"/>
      <c r="P2146" s="15" t="s">
        <v>113</v>
      </c>
      <c r="Q2146" s="16">
        <v>9199</v>
      </c>
      <c r="R2146" s="17">
        <v>40</v>
      </c>
      <c r="S2146" s="18">
        <v>6347.3099999999995</v>
      </c>
      <c r="T2146" s="19" t="s">
        <v>36</v>
      </c>
      <c r="U2146" s="20" t="s">
        <v>39</v>
      </c>
      <c r="V2146" s="21" t="s">
        <v>40</v>
      </c>
      <c r="W2146" s="22">
        <v>10</v>
      </c>
      <c r="X2146" s="23"/>
    </row>
    <row r="2147" spans="1:24" s="1" customFormat="1" ht="26.1" customHeight="1" x14ac:dyDescent="0.3">
      <c r="A2147" s="24" t="s">
        <v>23</v>
      </c>
      <c r="B2147" s="24" t="s">
        <v>2211</v>
      </c>
      <c r="C2147" s="12" t="s">
        <v>2498</v>
      </c>
      <c r="D2147" s="54"/>
      <c r="E2147" s="39" t="str">
        <f>HYPERLINK("https://www.google.ru/search?q=1373881-402&amp;newwindow=1&amp;tbm=isch","Еще фото")</f>
        <v>Еще фото</v>
      </c>
      <c r="F2147" s="13"/>
      <c r="G2147" s="24" t="s">
        <v>2198</v>
      </c>
      <c r="H2147" s="24" t="s">
        <v>27</v>
      </c>
      <c r="I2147" s="24" t="s">
        <v>2190</v>
      </c>
      <c r="J2147" s="14" t="s">
        <v>47</v>
      </c>
      <c r="K2147" s="15" t="s">
        <v>30</v>
      </c>
      <c r="L2147" s="57"/>
      <c r="M2147" s="14"/>
      <c r="N2147" s="14" t="s">
        <v>91</v>
      </c>
      <c r="O2147" s="14"/>
      <c r="P2147" s="15" t="s">
        <v>113</v>
      </c>
      <c r="Q2147" s="16">
        <v>9199</v>
      </c>
      <c r="R2147" s="17">
        <v>40</v>
      </c>
      <c r="S2147" s="18">
        <v>6347.3099999999995</v>
      </c>
      <c r="T2147" s="19" t="s">
        <v>36</v>
      </c>
      <c r="U2147" s="20" t="s">
        <v>41</v>
      </c>
      <c r="V2147" s="21" t="s">
        <v>42</v>
      </c>
      <c r="W2147" s="22">
        <v>7</v>
      </c>
      <c r="X2147" s="23"/>
    </row>
    <row r="2148" spans="1:24" s="1" customFormat="1" ht="26.1" customHeight="1" x14ac:dyDescent="0.3">
      <c r="A2148" s="24" t="s">
        <v>23</v>
      </c>
      <c r="B2148" s="24" t="s">
        <v>2211</v>
      </c>
      <c r="C2148" s="12" t="s">
        <v>2498</v>
      </c>
      <c r="D2148" s="55"/>
      <c r="E2148" s="39" t="str">
        <f>HYPERLINK("https://www.google.ru/search?q=1373881-402&amp;newwindow=1&amp;tbm=isch","Еще фото")</f>
        <v>Еще фото</v>
      </c>
      <c r="F2148" s="13"/>
      <c r="G2148" s="24" t="s">
        <v>2198</v>
      </c>
      <c r="H2148" s="24" t="s">
        <v>27</v>
      </c>
      <c r="I2148" s="24" t="s">
        <v>2190</v>
      </c>
      <c r="J2148" s="14" t="s">
        <v>47</v>
      </c>
      <c r="K2148" s="15" t="s">
        <v>30</v>
      </c>
      <c r="L2148" s="58"/>
      <c r="M2148" s="14"/>
      <c r="N2148" s="14" t="s">
        <v>91</v>
      </c>
      <c r="O2148" s="14"/>
      <c r="P2148" s="15" t="s">
        <v>113</v>
      </c>
      <c r="Q2148" s="16">
        <v>9199</v>
      </c>
      <c r="R2148" s="17">
        <v>40</v>
      </c>
      <c r="S2148" s="18">
        <v>6347.3099999999995</v>
      </c>
      <c r="T2148" s="19" t="s">
        <v>36</v>
      </c>
      <c r="U2148" s="20" t="s">
        <v>43</v>
      </c>
      <c r="V2148" s="21" t="s">
        <v>44</v>
      </c>
      <c r="W2148" s="22">
        <v>1</v>
      </c>
      <c r="X2148" s="23"/>
    </row>
    <row r="2149" spans="1:24" s="1" customFormat="1" ht="35.1" customHeight="1" x14ac:dyDescent="0.3">
      <c r="A2149" s="11" t="s">
        <v>23</v>
      </c>
      <c r="B2149" s="11" t="s">
        <v>2494</v>
      </c>
      <c r="C2149" s="12" t="s">
        <v>2500</v>
      </c>
      <c r="D2149" s="53"/>
      <c r="E2149" s="39" t="str">
        <f>HYPERLINK("https://www.google.ru/search?q=1373881-410&amp;newwindow=1&amp;tbm=isch","Еще фото")</f>
        <v>Еще фото</v>
      </c>
      <c r="F2149" s="13" t="s">
        <v>98</v>
      </c>
      <c r="G2149" s="11" t="s">
        <v>2198</v>
      </c>
      <c r="H2149" s="11" t="s">
        <v>27</v>
      </c>
      <c r="I2149" s="14" t="s">
        <v>2190</v>
      </c>
      <c r="J2149" s="14" t="s">
        <v>29</v>
      </c>
      <c r="K2149" s="15" t="s">
        <v>30</v>
      </c>
      <c r="L2149" s="56" t="s">
        <v>2496</v>
      </c>
      <c r="M2149" s="14" t="s">
        <v>49</v>
      </c>
      <c r="N2149" s="14" t="s">
        <v>91</v>
      </c>
      <c r="O2149" s="14" t="s">
        <v>34</v>
      </c>
      <c r="P2149" s="15" t="s">
        <v>113</v>
      </c>
      <c r="Q2149" s="16">
        <v>9199</v>
      </c>
      <c r="R2149" s="17">
        <v>40</v>
      </c>
      <c r="S2149" s="18">
        <v>6347.3099999999995</v>
      </c>
      <c r="T2149" s="19" t="s">
        <v>36</v>
      </c>
      <c r="U2149" s="20" t="s">
        <v>37</v>
      </c>
      <c r="V2149" s="21" t="s">
        <v>38</v>
      </c>
      <c r="W2149" s="22">
        <v>9</v>
      </c>
      <c r="X2149" s="23"/>
    </row>
    <row r="2150" spans="1:24" s="1" customFormat="1" ht="35.1" customHeight="1" x14ac:dyDescent="0.3">
      <c r="A2150" s="24" t="s">
        <v>23</v>
      </c>
      <c r="B2150" s="24" t="s">
        <v>2494</v>
      </c>
      <c r="C2150" s="12" t="s">
        <v>2500</v>
      </c>
      <c r="D2150" s="54"/>
      <c r="E2150" s="39" t="str">
        <f>HYPERLINK("https://www.google.ru/search?q=1373881-410&amp;newwindow=1&amp;tbm=isch","Еще фото")</f>
        <v>Еще фото</v>
      </c>
      <c r="F2150" s="13" t="s">
        <v>98</v>
      </c>
      <c r="G2150" s="24" t="s">
        <v>2198</v>
      </c>
      <c r="H2150" s="24" t="s">
        <v>27</v>
      </c>
      <c r="I2150" s="24" t="s">
        <v>2190</v>
      </c>
      <c r="J2150" s="14" t="s">
        <v>29</v>
      </c>
      <c r="K2150" s="15" t="s">
        <v>30</v>
      </c>
      <c r="L2150" s="57"/>
      <c r="M2150" s="14" t="s">
        <v>49</v>
      </c>
      <c r="N2150" s="14" t="s">
        <v>91</v>
      </c>
      <c r="O2150" s="14" t="s">
        <v>34</v>
      </c>
      <c r="P2150" s="15" t="s">
        <v>113</v>
      </c>
      <c r="Q2150" s="16">
        <v>9199</v>
      </c>
      <c r="R2150" s="17">
        <v>40</v>
      </c>
      <c r="S2150" s="18">
        <v>6347.3099999999995</v>
      </c>
      <c r="T2150" s="19" t="s">
        <v>36</v>
      </c>
      <c r="U2150" s="20" t="s">
        <v>39</v>
      </c>
      <c r="V2150" s="21" t="s">
        <v>40</v>
      </c>
      <c r="W2150" s="22">
        <v>8</v>
      </c>
      <c r="X2150" s="23"/>
    </row>
    <row r="2151" spans="1:24" s="1" customFormat="1" ht="36.950000000000003" customHeight="1" x14ac:dyDescent="0.3">
      <c r="A2151" s="24" t="s">
        <v>23</v>
      </c>
      <c r="B2151" s="24" t="s">
        <v>2494</v>
      </c>
      <c r="C2151" s="12" t="s">
        <v>2500</v>
      </c>
      <c r="D2151" s="55"/>
      <c r="E2151" s="39" t="str">
        <f>HYPERLINK("https://www.google.ru/search?q=1373881-410&amp;newwindow=1&amp;tbm=isch","Еще фото")</f>
        <v>Еще фото</v>
      </c>
      <c r="F2151" s="13" t="s">
        <v>98</v>
      </c>
      <c r="G2151" s="24" t="s">
        <v>2198</v>
      </c>
      <c r="H2151" s="24" t="s">
        <v>27</v>
      </c>
      <c r="I2151" s="24" t="s">
        <v>2190</v>
      </c>
      <c r="J2151" s="14" t="s">
        <v>29</v>
      </c>
      <c r="K2151" s="15" t="s">
        <v>30</v>
      </c>
      <c r="L2151" s="58"/>
      <c r="M2151" s="14" t="s">
        <v>49</v>
      </c>
      <c r="N2151" s="14" t="s">
        <v>91</v>
      </c>
      <c r="O2151" s="14" t="s">
        <v>34</v>
      </c>
      <c r="P2151" s="15" t="s">
        <v>113</v>
      </c>
      <c r="Q2151" s="16">
        <v>9199</v>
      </c>
      <c r="R2151" s="17">
        <v>40</v>
      </c>
      <c r="S2151" s="18">
        <v>6347.3099999999995</v>
      </c>
      <c r="T2151" s="19" t="s">
        <v>36</v>
      </c>
      <c r="U2151" s="20" t="s">
        <v>41</v>
      </c>
      <c r="V2151" s="21" t="s">
        <v>42</v>
      </c>
      <c r="W2151" s="22">
        <v>2</v>
      </c>
      <c r="X2151" s="23"/>
    </row>
    <row r="2152" spans="1:24" s="1" customFormat="1" ht="108" customHeight="1" x14ac:dyDescent="0.3">
      <c r="A2152" s="11" t="s">
        <v>23</v>
      </c>
      <c r="B2152" s="11" t="s">
        <v>2501</v>
      </c>
      <c r="C2152" s="12" t="s">
        <v>2502</v>
      </c>
      <c r="D2152" s="25"/>
      <c r="E2152" s="39" t="str">
        <f>HYPERLINK("https://www.google.ru/search?q=1374250-001&amp;newwindow=1&amp;tbm=isch","Еще фото")</f>
        <v>Еще фото</v>
      </c>
      <c r="F2152" s="13" t="s">
        <v>98</v>
      </c>
      <c r="G2152" s="11" t="s">
        <v>2189</v>
      </c>
      <c r="H2152" s="11" t="s">
        <v>27</v>
      </c>
      <c r="I2152" s="14" t="s">
        <v>2190</v>
      </c>
      <c r="J2152" s="14" t="s">
        <v>29</v>
      </c>
      <c r="K2152" s="15" t="s">
        <v>30</v>
      </c>
      <c r="L2152" s="14" t="s">
        <v>2503</v>
      </c>
      <c r="M2152" s="14"/>
      <c r="N2152" s="14" t="s">
        <v>33</v>
      </c>
      <c r="O2152" s="14"/>
      <c r="P2152" s="15" t="s">
        <v>385</v>
      </c>
      <c r="Q2152" s="16">
        <v>5899</v>
      </c>
      <c r="R2152" s="17">
        <v>40</v>
      </c>
      <c r="S2152" s="18">
        <v>4070.31</v>
      </c>
      <c r="T2152" s="19" t="s">
        <v>36</v>
      </c>
      <c r="U2152" s="20" t="s">
        <v>39</v>
      </c>
      <c r="V2152" s="21" t="s">
        <v>40</v>
      </c>
      <c r="W2152" s="22">
        <v>2</v>
      </c>
      <c r="X2152" s="23"/>
    </row>
    <row r="2153" spans="1:24" s="1" customFormat="1" ht="17.100000000000001" customHeight="1" x14ac:dyDescent="0.3">
      <c r="A2153" s="11" t="s">
        <v>23</v>
      </c>
      <c r="B2153" s="11" t="s">
        <v>2504</v>
      </c>
      <c r="C2153" s="12" t="s">
        <v>2505</v>
      </c>
      <c r="D2153" s="53"/>
      <c r="E2153" s="39" t="str">
        <f t="shared" ref="E2153:E2158" si="51">HYPERLINK("https://www.google.ru/search?q=1374250-012&amp;newwindow=1&amp;tbm=isch","Еще фото")</f>
        <v>Еще фото</v>
      </c>
      <c r="F2153" s="13" t="s">
        <v>98</v>
      </c>
      <c r="G2153" s="11" t="s">
        <v>2189</v>
      </c>
      <c r="H2153" s="11" t="s">
        <v>27</v>
      </c>
      <c r="I2153" s="14" t="s">
        <v>2190</v>
      </c>
      <c r="J2153" s="14" t="s">
        <v>29</v>
      </c>
      <c r="K2153" s="15" t="s">
        <v>30</v>
      </c>
      <c r="L2153" s="56" t="s">
        <v>2503</v>
      </c>
      <c r="M2153" s="14"/>
      <c r="N2153" s="14" t="s">
        <v>84</v>
      </c>
      <c r="O2153" s="14"/>
      <c r="P2153" s="15" t="s">
        <v>113</v>
      </c>
      <c r="Q2153" s="16">
        <v>5899</v>
      </c>
      <c r="R2153" s="17">
        <v>40</v>
      </c>
      <c r="S2153" s="18">
        <v>4070.31</v>
      </c>
      <c r="T2153" s="19" t="s">
        <v>36</v>
      </c>
      <c r="U2153" s="20" t="s">
        <v>37</v>
      </c>
      <c r="V2153" s="21" t="s">
        <v>38</v>
      </c>
      <c r="W2153" s="22">
        <v>18</v>
      </c>
      <c r="X2153" s="23"/>
    </row>
    <row r="2154" spans="1:24" s="1" customFormat="1" ht="17.100000000000001" customHeight="1" x14ac:dyDescent="0.3">
      <c r="A2154" s="24" t="s">
        <v>23</v>
      </c>
      <c r="B2154" s="24" t="s">
        <v>2504</v>
      </c>
      <c r="C2154" s="12" t="s">
        <v>2505</v>
      </c>
      <c r="D2154" s="54"/>
      <c r="E2154" s="39" t="str">
        <f t="shared" si="51"/>
        <v>Еще фото</v>
      </c>
      <c r="F2154" s="13" t="s">
        <v>98</v>
      </c>
      <c r="G2154" s="24" t="s">
        <v>2189</v>
      </c>
      <c r="H2154" s="24" t="s">
        <v>27</v>
      </c>
      <c r="I2154" s="24" t="s">
        <v>2190</v>
      </c>
      <c r="J2154" s="14" t="s">
        <v>29</v>
      </c>
      <c r="K2154" s="15" t="s">
        <v>30</v>
      </c>
      <c r="L2154" s="57"/>
      <c r="M2154" s="14"/>
      <c r="N2154" s="14" t="s">
        <v>84</v>
      </c>
      <c r="O2154" s="14"/>
      <c r="P2154" s="15" t="s">
        <v>113</v>
      </c>
      <c r="Q2154" s="16">
        <v>5899</v>
      </c>
      <c r="R2154" s="17">
        <v>40</v>
      </c>
      <c r="S2154" s="18">
        <v>4070.31</v>
      </c>
      <c r="T2154" s="19" t="s">
        <v>36</v>
      </c>
      <c r="U2154" s="20" t="s">
        <v>39</v>
      </c>
      <c r="V2154" s="21" t="s">
        <v>40</v>
      </c>
      <c r="W2154" s="22">
        <v>25</v>
      </c>
      <c r="X2154" s="23"/>
    </row>
    <row r="2155" spans="1:24" s="1" customFormat="1" ht="17.100000000000001" customHeight="1" x14ac:dyDescent="0.3">
      <c r="A2155" s="24" t="s">
        <v>23</v>
      </c>
      <c r="B2155" s="24" t="s">
        <v>2504</v>
      </c>
      <c r="C2155" s="12" t="s">
        <v>2505</v>
      </c>
      <c r="D2155" s="54"/>
      <c r="E2155" s="39" t="str">
        <f t="shared" si="51"/>
        <v>Еще фото</v>
      </c>
      <c r="F2155" s="13" t="s">
        <v>98</v>
      </c>
      <c r="G2155" s="24" t="s">
        <v>2189</v>
      </c>
      <c r="H2155" s="24" t="s">
        <v>27</v>
      </c>
      <c r="I2155" s="24" t="s">
        <v>2190</v>
      </c>
      <c r="J2155" s="14" t="s">
        <v>29</v>
      </c>
      <c r="K2155" s="15" t="s">
        <v>30</v>
      </c>
      <c r="L2155" s="57"/>
      <c r="M2155" s="14"/>
      <c r="N2155" s="14" t="s">
        <v>84</v>
      </c>
      <c r="O2155" s="14"/>
      <c r="P2155" s="15" t="s">
        <v>113</v>
      </c>
      <c r="Q2155" s="16">
        <v>5899</v>
      </c>
      <c r="R2155" s="17">
        <v>40</v>
      </c>
      <c r="S2155" s="18">
        <v>4070.31</v>
      </c>
      <c r="T2155" s="19" t="s">
        <v>36</v>
      </c>
      <c r="U2155" s="20" t="s">
        <v>41</v>
      </c>
      <c r="V2155" s="21" t="s">
        <v>42</v>
      </c>
      <c r="W2155" s="22">
        <v>22</v>
      </c>
      <c r="X2155" s="23"/>
    </row>
    <row r="2156" spans="1:24" s="1" customFormat="1" ht="17.100000000000001" customHeight="1" x14ac:dyDescent="0.3">
      <c r="A2156" s="24" t="s">
        <v>23</v>
      </c>
      <c r="B2156" s="24" t="s">
        <v>2504</v>
      </c>
      <c r="C2156" s="12" t="s">
        <v>2505</v>
      </c>
      <c r="D2156" s="54"/>
      <c r="E2156" s="39" t="str">
        <f t="shared" si="51"/>
        <v>Еще фото</v>
      </c>
      <c r="F2156" s="13" t="s">
        <v>98</v>
      </c>
      <c r="G2156" s="24" t="s">
        <v>2189</v>
      </c>
      <c r="H2156" s="24" t="s">
        <v>27</v>
      </c>
      <c r="I2156" s="24" t="s">
        <v>2190</v>
      </c>
      <c r="J2156" s="14" t="s">
        <v>29</v>
      </c>
      <c r="K2156" s="15" t="s">
        <v>30</v>
      </c>
      <c r="L2156" s="57"/>
      <c r="M2156" s="14"/>
      <c r="N2156" s="14" t="s">
        <v>84</v>
      </c>
      <c r="O2156" s="14"/>
      <c r="P2156" s="15" t="s">
        <v>113</v>
      </c>
      <c r="Q2156" s="16">
        <v>5899</v>
      </c>
      <c r="R2156" s="17">
        <v>40</v>
      </c>
      <c r="S2156" s="18">
        <v>4070.31</v>
      </c>
      <c r="T2156" s="19" t="s">
        <v>36</v>
      </c>
      <c r="U2156" s="20" t="s">
        <v>43</v>
      </c>
      <c r="V2156" s="21" t="s">
        <v>44</v>
      </c>
      <c r="W2156" s="22">
        <v>23</v>
      </c>
      <c r="X2156" s="23"/>
    </row>
    <row r="2157" spans="1:24" s="1" customFormat="1" ht="17.100000000000001" customHeight="1" x14ac:dyDescent="0.3">
      <c r="A2157" s="24" t="s">
        <v>23</v>
      </c>
      <c r="B2157" s="24" t="s">
        <v>2504</v>
      </c>
      <c r="C2157" s="12" t="s">
        <v>2505</v>
      </c>
      <c r="D2157" s="54"/>
      <c r="E2157" s="39" t="str">
        <f t="shared" si="51"/>
        <v>Еще фото</v>
      </c>
      <c r="F2157" s="13" t="s">
        <v>98</v>
      </c>
      <c r="G2157" s="24" t="s">
        <v>2189</v>
      </c>
      <c r="H2157" s="24" t="s">
        <v>27</v>
      </c>
      <c r="I2157" s="24" t="s">
        <v>2190</v>
      </c>
      <c r="J2157" s="14" t="s">
        <v>29</v>
      </c>
      <c r="K2157" s="15" t="s">
        <v>30</v>
      </c>
      <c r="L2157" s="57"/>
      <c r="M2157" s="14"/>
      <c r="N2157" s="14" t="s">
        <v>84</v>
      </c>
      <c r="O2157" s="14"/>
      <c r="P2157" s="15" t="s">
        <v>113</v>
      </c>
      <c r="Q2157" s="16">
        <v>5899</v>
      </c>
      <c r="R2157" s="17">
        <v>40</v>
      </c>
      <c r="S2157" s="18">
        <v>4070.31</v>
      </c>
      <c r="T2157" s="19" t="s">
        <v>36</v>
      </c>
      <c r="U2157" s="20" t="s">
        <v>104</v>
      </c>
      <c r="V2157" s="21" t="s">
        <v>105</v>
      </c>
      <c r="W2157" s="22">
        <v>4</v>
      </c>
      <c r="X2157" s="23"/>
    </row>
    <row r="2158" spans="1:24" s="1" customFormat="1" ht="21.95" customHeight="1" x14ac:dyDescent="0.3">
      <c r="A2158" s="24" t="s">
        <v>23</v>
      </c>
      <c r="B2158" s="24" t="s">
        <v>2504</v>
      </c>
      <c r="C2158" s="12" t="s">
        <v>2505</v>
      </c>
      <c r="D2158" s="55"/>
      <c r="E2158" s="39" t="str">
        <f t="shared" si="51"/>
        <v>Еще фото</v>
      </c>
      <c r="F2158" s="13" t="s">
        <v>98</v>
      </c>
      <c r="G2158" s="24" t="s">
        <v>2189</v>
      </c>
      <c r="H2158" s="24" t="s">
        <v>27</v>
      </c>
      <c r="I2158" s="24" t="s">
        <v>2190</v>
      </c>
      <c r="J2158" s="14" t="s">
        <v>29</v>
      </c>
      <c r="K2158" s="15" t="s">
        <v>30</v>
      </c>
      <c r="L2158" s="58"/>
      <c r="M2158" s="14"/>
      <c r="N2158" s="14" t="s">
        <v>84</v>
      </c>
      <c r="O2158" s="14"/>
      <c r="P2158" s="15" t="s">
        <v>113</v>
      </c>
      <c r="Q2158" s="16">
        <v>5899</v>
      </c>
      <c r="R2158" s="17">
        <v>40</v>
      </c>
      <c r="S2158" s="18">
        <v>4070.31</v>
      </c>
      <c r="T2158" s="19" t="s">
        <v>36</v>
      </c>
      <c r="U2158" s="20" t="s">
        <v>381</v>
      </c>
      <c r="V2158" s="21" t="s">
        <v>382</v>
      </c>
      <c r="W2158" s="22">
        <v>1</v>
      </c>
      <c r="X2158" s="23"/>
    </row>
    <row r="2159" spans="1:24" s="1" customFormat="1" ht="26.1" customHeight="1" x14ac:dyDescent="0.3">
      <c r="A2159" s="11" t="s">
        <v>23</v>
      </c>
      <c r="B2159" s="11" t="s">
        <v>2504</v>
      </c>
      <c r="C2159" s="12" t="s">
        <v>2506</v>
      </c>
      <c r="D2159" s="53"/>
      <c r="E2159" s="39" t="str">
        <f>HYPERLINK("https://www.google.ru/search?q=1374250-410&amp;newwindow=1&amp;tbm=isch","Еще фото")</f>
        <v>Еще фото</v>
      </c>
      <c r="F2159" s="13" t="s">
        <v>98</v>
      </c>
      <c r="G2159" s="11" t="s">
        <v>2189</v>
      </c>
      <c r="H2159" s="11" t="s">
        <v>27</v>
      </c>
      <c r="I2159" s="14" t="s">
        <v>2190</v>
      </c>
      <c r="J2159" s="14" t="s">
        <v>29</v>
      </c>
      <c r="K2159" s="15" t="s">
        <v>30</v>
      </c>
      <c r="L2159" s="56" t="s">
        <v>2503</v>
      </c>
      <c r="M2159" s="14"/>
      <c r="N2159" s="14" t="s">
        <v>91</v>
      </c>
      <c r="O2159" s="14"/>
      <c r="P2159" s="15" t="s">
        <v>385</v>
      </c>
      <c r="Q2159" s="16">
        <v>8699</v>
      </c>
      <c r="R2159" s="17">
        <v>40</v>
      </c>
      <c r="S2159" s="18">
        <v>6002.3099999999995</v>
      </c>
      <c r="T2159" s="19" t="s">
        <v>36</v>
      </c>
      <c r="U2159" s="20" t="s">
        <v>37</v>
      </c>
      <c r="V2159" s="21" t="s">
        <v>38</v>
      </c>
      <c r="W2159" s="22">
        <v>7</v>
      </c>
      <c r="X2159" s="23"/>
    </row>
    <row r="2160" spans="1:24" s="1" customFormat="1" ht="26.1" customHeight="1" x14ac:dyDescent="0.3">
      <c r="A2160" s="24" t="s">
        <v>23</v>
      </c>
      <c r="B2160" s="24" t="s">
        <v>2504</v>
      </c>
      <c r="C2160" s="12" t="s">
        <v>2506</v>
      </c>
      <c r="D2160" s="54"/>
      <c r="E2160" s="39" t="str">
        <f>HYPERLINK("https://www.google.ru/search?q=1374250-410&amp;newwindow=1&amp;tbm=isch","Еще фото")</f>
        <v>Еще фото</v>
      </c>
      <c r="F2160" s="13" t="s">
        <v>98</v>
      </c>
      <c r="G2160" s="24" t="s">
        <v>2189</v>
      </c>
      <c r="H2160" s="24" t="s">
        <v>27</v>
      </c>
      <c r="I2160" s="24" t="s">
        <v>2190</v>
      </c>
      <c r="J2160" s="14" t="s">
        <v>29</v>
      </c>
      <c r="K2160" s="15" t="s">
        <v>30</v>
      </c>
      <c r="L2160" s="57"/>
      <c r="M2160" s="14"/>
      <c r="N2160" s="14" t="s">
        <v>91</v>
      </c>
      <c r="O2160" s="14"/>
      <c r="P2160" s="15" t="s">
        <v>385</v>
      </c>
      <c r="Q2160" s="16">
        <v>8699</v>
      </c>
      <c r="R2160" s="17">
        <v>40</v>
      </c>
      <c r="S2160" s="18">
        <v>6002.3099999999995</v>
      </c>
      <c r="T2160" s="19" t="s">
        <v>36</v>
      </c>
      <c r="U2160" s="20" t="s">
        <v>39</v>
      </c>
      <c r="V2160" s="21" t="s">
        <v>40</v>
      </c>
      <c r="W2160" s="22">
        <v>5</v>
      </c>
      <c r="X2160" s="23"/>
    </row>
    <row r="2161" spans="1:24" s="1" customFormat="1" ht="26.1" customHeight="1" x14ac:dyDescent="0.3">
      <c r="A2161" s="24" t="s">
        <v>23</v>
      </c>
      <c r="B2161" s="24" t="s">
        <v>2504</v>
      </c>
      <c r="C2161" s="12" t="s">
        <v>2506</v>
      </c>
      <c r="D2161" s="54"/>
      <c r="E2161" s="39" t="str">
        <f>HYPERLINK("https://www.google.ru/search?q=1374250-410&amp;newwindow=1&amp;tbm=isch","Еще фото")</f>
        <v>Еще фото</v>
      </c>
      <c r="F2161" s="13" t="s">
        <v>98</v>
      </c>
      <c r="G2161" s="24" t="s">
        <v>2189</v>
      </c>
      <c r="H2161" s="24" t="s">
        <v>27</v>
      </c>
      <c r="I2161" s="24" t="s">
        <v>2190</v>
      </c>
      <c r="J2161" s="14" t="s">
        <v>29</v>
      </c>
      <c r="K2161" s="15" t="s">
        <v>30</v>
      </c>
      <c r="L2161" s="57"/>
      <c r="M2161" s="14"/>
      <c r="N2161" s="14" t="s">
        <v>91</v>
      </c>
      <c r="O2161" s="14"/>
      <c r="P2161" s="15" t="s">
        <v>385</v>
      </c>
      <c r="Q2161" s="16">
        <v>8699</v>
      </c>
      <c r="R2161" s="17">
        <v>40</v>
      </c>
      <c r="S2161" s="18">
        <v>6002.3099999999995</v>
      </c>
      <c r="T2161" s="19" t="s">
        <v>36</v>
      </c>
      <c r="U2161" s="20" t="s">
        <v>41</v>
      </c>
      <c r="V2161" s="21" t="s">
        <v>42</v>
      </c>
      <c r="W2161" s="22">
        <v>4</v>
      </c>
      <c r="X2161" s="23"/>
    </row>
    <row r="2162" spans="1:24" s="1" customFormat="1" ht="26.1" customHeight="1" x14ac:dyDescent="0.3">
      <c r="A2162" s="24" t="s">
        <v>23</v>
      </c>
      <c r="B2162" s="24" t="s">
        <v>2504</v>
      </c>
      <c r="C2162" s="12" t="s">
        <v>2506</v>
      </c>
      <c r="D2162" s="55"/>
      <c r="E2162" s="39" t="str">
        <f>HYPERLINK("https://www.google.ru/search?q=1374250-410&amp;newwindow=1&amp;tbm=isch","Еще фото")</f>
        <v>Еще фото</v>
      </c>
      <c r="F2162" s="13" t="s">
        <v>98</v>
      </c>
      <c r="G2162" s="24" t="s">
        <v>2189</v>
      </c>
      <c r="H2162" s="24" t="s">
        <v>27</v>
      </c>
      <c r="I2162" s="24" t="s">
        <v>2190</v>
      </c>
      <c r="J2162" s="14" t="s">
        <v>29</v>
      </c>
      <c r="K2162" s="15" t="s">
        <v>30</v>
      </c>
      <c r="L2162" s="58"/>
      <c r="M2162" s="14"/>
      <c r="N2162" s="14" t="s">
        <v>91</v>
      </c>
      <c r="O2162" s="14"/>
      <c r="P2162" s="15" t="s">
        <v>385</v>
      </c>
      <c r="Q2162" s="16">
        <v>8699</v>
      </c>
      <c r="R2162" s="17">
        <v>40</v>
      </c>
      <c r="S2162" s="18">
        <v>6002.3099999999995</v>
      </c>
      <c r="T2162" s="19" t="s">
        <v>36</v>
      </c>
      <c r="U2162" s="20" t="s">
        <v>43</v>
      </c>
      <c r="V2162" s="21" t="s">
        <v>44</v>
      </c>
      <c r="W2162" s="22">
        <v>3</v>
      </c>
      <c r="X2162" s="23"/>
    </row>
    <row r="2163" spans="1:24" s="1" customFormat="1" ht="35.1" customHeight="1" x14ac:dyDescent="0.3">
      <c r="A2163" s="11" t="s">
        <v>23</v>
      </c>
      <c r="B2163" s="11" t="s">
        <v>2507</v>
      </c>
      <c r="C2163" s="12" t="s">
        <v>2508</v>
      </c>
      <c r="D2163" s="53"/>
      <c r="E2163" s="39" t="str">
        <f>HYPERLINK("https://www.google.ru/search?q=1374250-452&amp;newwindow=1&amp;tbm=isch","Еще фото")</f>
        <v>Еще фото</v>
      </c>
      <c r="F2163" s="13"/>
      <c r="G2163" s="11" t="s">
        <v>2189</v>
      </c>
      <c r="H2163" s="11" t="s">
        <v>27</v>
      </c>
      <c r="I2163" s="14" t="s">
        <v>2190</v>
      </c>
      <c r="J2163" s="14" t="s">
        <v>47</v>
      </c>
      <c r="K2163" s="15" t="s">
        <v>30</v>
      </c>
      <c r="L2163" s="56" t="s">
        <v>2509</v>
      </c>
      <c r="M2163" s="14"/>
      <c r="N2163" s="14" t="s">
        <v>91</v>
      </c>
      <c r="O2163" s="14"/>
      <c r="P2163" s="15" t="s">
        <v>113</v>
      </c>
      <c r="Q2163" s="16">
        <v>6099</v>
      </c>
      <c r="R2163" s="17">
        <v>40</v>
      </c>
      <c r="S2163" s="18">
        <v>4208.3099999999995</v>
      </c>
      <c r="T2163" s="19" t="s">
        <v>36</v>
      </c>
      <c r="U2163" s="20" t="s">
        <v>37</v>
      </c>
      <c r="V2163" s="21" t="s">
        <v>38</v>
      </c>
      <c r="W2163" s="22">
        <v>3</v>
      </c>
      <c r="X2163" s="23"/>
    </row>
    <row r="2164" spans="1:24" s="1" customFormat="1" ht="35.1" customHeight="1" x14ac:dyDescent="0.3">
      <c r="A2164" s="24" t="s">
        <v>23</v>
      </c>
      <c r="B2164" s="24" t="s">
        <v>2507</v>
      </c>
      <c r="C2164" s="12" t="s">
        <v>2508</v>
      </c>
      <c r="D2164" s="54"/>
      <c r="E2164" s="39" t="str">
        <f>HYPERLINK("https://www.google.ru/search?q=1374250-452&amp;newwindow=1&amp;tbm=isch","Еще фото")</f>
        <v>Еще фото</v>
      </c>
      <c r="F2164" s="13"/>
      <c r="G2164" s="24" t="s">
        <v>2189</v>
      </c>
      <c r="H2164" s="24" t="s">
        <v>27</v>
      </c>
      <c r="I2164" s="24" t="s">
        <v>2190</v>
      </c>
      <c r="J2164" s="14" t="s">
        <v>47</v>
      </c>
      <c r="K2164" s="15" t="s">
        <v>30</v>
      </c>
      <c r="L2164" s="57"/>
      <c r="M2164" s="14"/>
      <c r="N2164" s="14" t="s">
        <v>91</v>
      </c>
      <c r="O2164" s="14"/>
      <c r="P2164" s="15" t="s">
        <v>113</v>
      </c>
      <c r="Q2164" s="16">
        <v>6099</v>
      </c>
      <c r="R2164" s="17">
        <v>40</v>
      </c>
      <c r="S2164" s="18">
        <v>4208.3099999999995</v>
      </c>
      <c r="T2164" s="19" t="s">
        <v>36</v>
      </c>
      <c r="U2164" s="20" t="s">
        <v>39</v>
      </c>
      <c r="V2164" s="21" t="s">
        <v>40</v>
      </c>
      <c r="W2164" s="22">
        <v>1</v>
      </c>
      <c r="X2164" s="23"/>
    </row>
    <row r="2165" spans="1:24" s="1" customFormat="1" ht="36.950000000000003" customHeight="1" x14ac:dyDescent="0.3">
      <c r="A2165" s="24" t="s">
        <v>23</v>
      </c>
      <c r="B2165" s="24" t="s">
        <v>2507</v>
      </c>
      <c r="C2165" s="12" t="s">
        <v>2508</v>
      </c>
      <c r="D2165" s="55"/>
      <c r="E2165" s="39" t="str">
        <f>HYPERLINK("https://www.google.ru/search?q=1374250-452&amp;newwindow=1&amp;tbm=isch","Еще фото")</f>
        <v>Еще фото</v>
      </c>
      <c r="F2165" s="13"/>
      <c r="G2165" s="24" t="s">
        <v>2189</v>
      </c>
      <c r="H2165" s="24" t="s">
        <v>27</v>
      </c>
      <c r="I2165" s="24" t="s">
        <v>2190</v>
      </c>
      <c r="J2165" s="14" t="s">
        <v>47</v>
      </c>
      <c r="K2165" s="15" t="s">
        <v>30</v>
      </c>
      <c r="L2165" s="58"/>
      <c r="M2165" s="14"/>
      <c r="N2165" s="14" t="s">
        <v>91</v>
      </c>
      <c r="O2165" s="14"/>
      <c r="P2165" s="15" t="s">
        <v>113</v>
      </c>
      <c r="Q2165" s="16">
        <v>6099</v>
      </c>
      <c r="R2165" s="17">
        <v>40</v>
      </c>
      <c r="S2165" s="18">
        <v>4208.3099999999995</v>
      </c>
      <c r="T2165" s="19" t="s">
        <v>36</v>
      </c>
      <c r="U2165" s="20" t="s">
        <v>41</v>
      </c>
      <c r="V2165" s="21" t="s">
        <v>42</v>
      </c>
      <c r="W2165" s="22">
        <v>1</v>
      </c>
      <c r="X2165" s="23"/>
    </row>
    <row r="2166" spans="1:24" s="1" customFormat="1" ht="51.95" customHeight="1" x14ac:dyDescent="0.3">
      <c r="A2166" s="11" t="s">
        <v>23</v>
      </c>
      <c r="B2166" s="11" t="s">
        <v>2510</v>
      </c>
      <c r="C2166" s="12" t="s">
        <v>2511</v>
      </c>
      <c r="D2166" s="59"/>
      <c r="E2166" s="39" t="str">
        <f>HYPERLINK("https://www.google.ru/search?q=1374644-003&amp;newwindow=1&amp;tbm=isch","Еще фото")</f>
        <v>Еще фото</v>
      </c>
      <c r="F2166" s="13" t="s">
        <v>98</v>
      </c>
      <c r="G2166" s="11" t="s">
        <v>2202</v>
      </c>
      <c r="H2166" s="11" t="s">
        <v>27</v>
      </c>
      <c r="I2166" s="14" t="s">
        <v>2190</v>
      </c>
      <c r="J2166" s="14" t="s">
        <v>29</v>
      </c>
      <c r="K2166" s="15" t="s">
        <v>30</v>
      </c>
      <c r="L2166" s="56" t="s">
        <v>2512</v>
      </c>
      <c r="M2166" s="14"/>
      <c r="N2166" s="14" t="s">
        <v>33</v>
      </c>
      <c r="O2166" s="14"/>
      <c r="P2166" s="15" t="s">
        <v>492</v>
      </c>
      <c r="Q2166" s="16">
        <v>18699</v>
      </c>
      <c r="R2166" s="17">
        <v>40</v>
      </c>
      <c r="S2166" s="18">
        <v>12902.31</v>
      </c>
      <c r="T2166" s="19" t="s">
        <v>36</v>
      </c>
      <c r="U2166" s="20" t="s">
        <v>37</v>
      </c>
      <c r="V2166" s="21" t="s">
        <v>38</v>
      </c>
      <c r="W2166" s="22">
        <v>1</v>
      </c>
      <c r="X2166" s="23"/>
    </row>
    <row r="2167" spans="1:24" s="1" customFormat="1" ht="60.95" customHeight="1" x14ac:dyDescent="0.3">
      <c r="A2167" s="24" t="s">
        <v>23</v>
      </c>
      <c r="B2167" s="24" t="s">
        <v>2510</v>
      </c>
      <c r="C2167" s="12" t="s">
        <v>2511</v>
      </c>
      <c r="D2167" s="60"/>
      <c r="E2167" s="39" t="str">
        <f>HYPERLINK("https://www.google.ru/search?q=1374644-003&amp;newwindow=1&amp;tbm=isch","Еще фото")</f>
        <v>Еще фото</v>
      </c>
      <c r="F2167" s="13" t="s">
        <v>98</v>
      </c>
      <c r="G2167" s="24" t="s">
        <v>2202</v>
      </c>
      <c r="H2167" s="24" t="s">
        <v>27</v>
      </c>
      <c r="I2167" s="24" t="s">
        <v>2190</v>
      </c>
      <c r="J2167" s="14" t="s">
        <v>29</v>
      </c>
      <c r="K2167" s="15" t="s">
        <v>30</v>
      </c>
      <c r="L2167" s="58"/>
      <c r="M2167" s="14"/>
      <c r="N2167" s="14" t="s">
        <v>33</v>
      </c>
      <c r="O2167" s="14"/>
      <c r="P2167" s="15" t="s">
        <v>492</v>
      </c>
      <c r="Q2167" s="16">
        <v>18699</v>
      </c>
      <c r="R2167" s="17">
        <v>40</v>
      </c>
      <c r="S2167" s="18">
        <v>12902.31</v>
      </c>
      <c r="T2167" s="19" t="s">
        <v>36</v>
      </c>
      <c r="U2167" s="20" t="s">
        <v>39</v>
      </c>
      <c r="V2167" s="21" t="s">
        <v>40</v>
      </c>
      <c r="W2167" s="22">
        <v>2</v>
      </c>
      <c r="X2167" s="23"/>
    </row>
    <row r="2168" spans="1:24" s="1" customFormat="1" ht="51.95" customHeight="1" x14ac:dyDescent="0.3">
      <c r="A2168" s="11" t="s">
        <v>23</v>
      </c>
      <c r="B2168" s="11" t="s">
        <v>2510</v>
      </c>
      <c r="C2168" s="12" t="s">
        <v>2513</v>
      </c>
      <c r="D2168" s="59"/>
      <c r="E2168" s="39" t="str">
        <f>HYPERLINK("https://www.google.ru/search?q=1374644-452&amp;newwindow=1&amp;tbm=isch","Еще фото")</f>
        <v>Еще фото</v>
      </c>
      <c r="F2168" s="13"/>
      <c r="G2168" s="11" t="s">
        <v>2202</v>
      </c>
      <c r="H2168" s="11" t="s">
        <v>27</v>
      </c>
      <c r="I2168" s="14" t="s">
        <v>2190</v>
      </c>
      <c r="J2168" s="14" t="s">
        <v>29</v>
      </c>
      <c r="K2168" s="15" t="s">
        <v>30</v>
      </c>
      <c r="L2168" s="56" t="s">
        <v>2512</v>
      </c>
      <c r="M2168" s="14"/>
      <c r="N2168" s="14" t="s">
        <v>91</v>
      </c>
      <c r="O2168" s="14"/>
      <c r="P2168" s="15" t="s">
        <v>492</v>
      </c>
      <c r="Q2168" s="16">
        <v>15499</v>
      </c>
      <c r="R2168" s="17">
        <v>40</v>
      </c>
      <c r="S2168" s="18">
        <v>10694.31</v>
      </c>
      <c r="T2168" s="19" t="s">
        <v>36</v>
      </c>
      <c r="U2168" s="20" t="s">
        <v>37</v>
      </c>
      <c r="V2168" s="21" t="s">
        <v>38</v>
      </c>
      <c r="W2168" s="22">
        <v>7</v>
      </c>
      <c r="X2168" s="23"/>
    </row>
    <row r="2169" spans="1:24" s="1" customFormat="1" ht="60.95" customHeight="1" x14ac:dyDescent="0.3">
      <c r="A2169" s="24" t="s">
        <v>23</v>
      </c>
      <c r="B2169" s="24" t="s">
        <v>2510</v>
      </c>
      <c r="C2169" s="12" t="s">
        <v>2513</v>
      </c>
      <c r="D2169" s="60"/>
      <c r="E2169" s="39" t="str">
        <f>HYPERLINK("https://www.google.ru/search?q=1374644-452&amp;newwindow=1&amp;tbm=isch","Еще фото")</f>
        <v>Еще фото</v>
      </c>
      <c r="F2169" s="13"/>
      <c r="G2169" s="24" t="s">
        <v>2202</v>
      </c>
      <c r="H2169" s="24" t="s">
        <v>27</v>
      </c>
      <c r="I2169" s="24" t="s">
        <v>2190</v>
      </c>
      <c r="J2169" s="14" t="s">
        <v>29</v>
      </c>
      <c r="K2169" s="15" t="s">
        <v>30</v>
      </c>
      <c r="L2169" s="58"/>
      <c r="M2169" s="14"/>
      <c r="N2169" s="14" t="s">
        <v>91</v>
      </c>
      <c r="O2169" s="14"/>
      <c r="P2169" s="15" t="s">
        <v>492</v>
      </c>
      <c r="Q2169" s="16">
        <v>15499</v>
      </c>
      <c r="R2169" s="17">
        <v>40</v>
      </c>
      <c r="S2169" s="18">
        <v>10694.31</v>
      </c>
      <c r="T2169" s="19" t="s">
        <v>36</v>
      </c>
      <c r="U2169" s="20" t="s">
        <v>41</v>
      </c>
      <c r="V2169" s="21" t="s">
        <v>42</v>
      </c>
      <c r="W2169" s="22">
        <v>1</v>
      </c>
      <c r="X2169" s="23"/>
    </row>
    <row r="2170" spans="1:24" s="1" customFormat="1" ht="51.95" customHeight="1" x14ac:dyDescent="0.3">
      <c r="A2170" s="11" t="s">
        <v>23</v>
      </c>
      <c r="B2170" s="11" t="s">
        <v>2510</v>
      </c>
      <c r="C2170" s="12" t="s">
        <v>2514</v>
      </c>
      <c r="D2170" s="59"/>
      <c r="E2170" s="39" t="str">
        <f>HYPERLINK("https://www.google.ru/search?q=1374645-002&amp;newwindow=1&amp;tbm=isch","Еще фото")</f>
        <v>Еще фото</v>
      </c>
      <c r="F2170" s="13"/>
      <c r="G2170" s="11" t="s">
        <v>2202</v>
      </c>
      <c r="H2170" s="11" t="s">
        <v>27</v>
      </c>
      <c r="I2170" s="14" t="s">
        <v>2190</v>
      </c>
      <c r="J2170" s="14" t="s">
        <v>29</v>
      </c>
      <c r="K2170" s="15" t="s">
        <v>64</v>
      </c>
      <c r="L2170" s="56" t="s">
        <v>2515</v>
      </c>
      <c r="M2170" s="14" t="s">
        <v>32</v>
      </c>
      <c r="N2170" s="14" t="s">
        <v>33</v>
      </c>
      <c r="O2170" s="14"/>
      <c r="P2170" s="15" t="s">
        <v>492</v>
      </c>
      <c r="Q2170" s="16">
        <v>13399</v>
      </c>
      <c r="R2170" s="17">
        <v>40</v>
      </c>
      <c r="S2170" s="18">
        <v>9245.31</v>
      </c>
      <c r="T2170" s="19" t="s">
        <v>36</v>
      </c>
      <c r="U2170" s="20" t="s">
        <v>37</v>
      </c>
      <c r="V2170" s="21" t="s">
        <v>86</v>
      </c>
      <c r="W2170" s="22">
        <v>1</v>
      </c>
      <c r="X2170" s="23"/>
    </row>
    <row r="2171" spans="1:24" s="1" customFormat="1" ht="60.95" customHeight="1" x14ac:dyDescent="0.3">
      <c r="A2171" s="24" t="s">
        <v>23</v>
      </c>
      <c r="B2171" s="24" t="s">
        <v>2510</v>
      </c>
      <c r="C2171" s="12" t="s">
        <v>2514</v>
      </c>
      <c r="D2171" s="60"/>
      <c r="E2171" s="39" t="str">
        <f>HYPERLINK("https://www.google.ru/search?q=1374645-002&amp;newwindow=1&amp;tbm=isch","Еще фото")</f>
        <v>Еще фото</v>
      </c>
      <c r="F2171" s="13"/>
      <c r="G2171" s="24" t="s">
        <v>2202</v>
      </c>
      <c r="H2171" s="24" t="s">
        <v>27</v>
      </c>
      <c r="I2171" s="24" t="s">
        <v>2190</v>
      </c>
      <c r="J2171" s="14" t="s">
        <v>29</v>
      </c>
      <c r="K2171" s="15" t="s">
        <v>64</v>
      </c>
      <c r="L2171" s="58"/>
      <c r="M2171" s="14" t="s">
        <v>32</v>
      </c>
      <c r="N2171" s="14" t="s">
        <v>33</v>
      </c>
      <c r="O2171" s="14"/>
      <c r="P2171" s="15" t="s">
        <v>492</v>
      </c>
      <c r="Q2171" s="16">
        <v>13399</v>
      </c>
      <c r="R2171" s="17">
        <v>40</v>
      </c>
      <c r="S2171" s="18">
        <v>9245.31</v>
      </c>
      <c r="T2171" s="19" t="s">
        <v>36</v>
      </c>
      <c r="U2171" s="20" t="s">
        <v>39</v>
      </c>
      <c r="V2171" s="21" t="s">
        <v>38</v>
      </c>
      <c r="W2171" s="22">
        <v>1</v>
      </c>
      <c r="X2171" s="23"/>
    </row>
    <row r="2172" spans="1:24" s="1" customFormat="1" ht="108" customHeight="1" x14ac:dyDescent="0.3">
      <c r="A2172" s="11" t="s">
        <v>23</v>
      </c>
      <c r="B2172" s="11" t="s">
        <v>2516</v>
      </c>
      <c r="C2172" s="12" t="s">
        <v>2517</v>
      </c>
      <c r="D2172" s="25"/>
      <c r="E2172" s="39" t="str">
        <f>HYPERLINK("https://www.google.ru/search?q=1376794-015&amp;newwindow=1&amp;tbm=isch","Еще фото")</f>
        <v>Еще фото</v>
      </c>
      <c r="F2172" s="13"/>
      <c r="G2172" s="11" t="s">
        <v>2202</v>
      </c>
      <c r="H2172" s="11" t="s">
        <v>27</v>
      </c>
      <c r="I2172" s="14" t="s">
        <v>2190</v>
      </c>
      <c r="J2172" s="14" t="s">
        <v>29</v>
      </c>
      <c r="K2172" s="15" t="s">
        <v>30</v>
      </c>
      <c r="L2172" s="14" t="s">
        <v>2518</v>
      </c>
      <c r="M2172" s="14" t="s">
        <v>32</v>
      </c>
      <c r="N2172" s="14" t="s">
        <v>57</v>
      </c>
      <c r="O2172" s="14"/>
      <c r="P2172" s="15" t="s">
        <v>100</v>
      </c>
      <c r="Q2172" s="16">
        <v>12499</v>
      </c>
      <c r="R2172" s="17">
        <v>40</v>
      </c>
      <c r="S2172" s="18">
        <v>8624.31</v>
      </c>
      <c r="T2172" s="19" t="s">
        <v>36</v>
      </c>
      <c r="U2172" s="20" t="s">
        <v>39</v>
      </c>
      <c r="V2172" s="21" t="s">
        <v>40</v>
      </c>
      <c r="W2172" s="22">
        <v>1</v>
      </c>
      <c r="X2172" s="23"/>
    </row>
    <row r="2173" spans="1:24" s="1" customFormat="1" ht="108" customHeight="1" x14ac:dyDescent="0.3">
      <c r="A2173" s="11" t="s">
        <v>23</v>
      </c>
      <c r="B2173" s="11" t="s">
        <v>2519</v>
      </c>
      <c r="C2173" s="12" t="s">
        <v>2520</v>
      </c>
      <c r="D2173" s="25"/>
      <c r="E2173" s="39" t="str">
        <f>HYPERLINK("https://www.google.ru/search?q=1376794-025&amp;newwindow=1&amp;tbm=isch","Еще фото")</f>
        <v>Еще фото</v>
      </c>
      <c r="F2173" s="13"/>
      <c r="G2173" s="11" t="s">
        <v>2202</v>
      </c>
      <c r="H2173" s="11" t="s">
        <v>27</v>
      </c>
      <c r="I2173" s="14" t="s">
        <v>2190</v>
      </c>
      <c r="J2173" s="14" t="s">
        <v>29</v>
      </c>
      <c r="K2173" s="15" t="s">
        <v>30</v>
      </c>
      <c r="L2173" s="14" t="s">
        <v>2521</v>
      </c>
      <c r="M2173" s="14" t="s">
        <v>32</v>
      </c>
      <c r="N2173" s="14" t="s">
        <v>84</v>
      </c>
      <c r="O2173" s="14"/>
      <c r="P2173" s="15" t="s">
        <v>100</v>
      </c>
      <c r="Q2173" s="16">
        <v>12699</v>
      </c>
      <c r="R2173" s="17">
        <v>40</v>
      </c>
      <c r="S2173" s="18">
        <v>8762.31</v>
      </c>
      <c r="T2173" s="19" t="s">
        <v>36</v>
      </c>
      <c r="U2173" s="20" t="s">
        <v>39</v>
      </c>
      <c r="V2173" s="21" t="s">
        <v>40</v>
      </c>
      <c r="W2173" s="22">
        <v>1</v>
      </c>
      <c r="X2173" s="23"/>
    </row>
    <row r="2174" spans="1:24" s="1" customFormat="1" ht="108" customHeight="1" x14ac:dyDescent="0.3">
      <c r="A2174" s="11" t="s">
        <v>23</v>
      </c>
      <c r="B2174" s="11" t="s">
        <v>2516</v>
      </c>
      <c r="C2174" s="12" t="s">
        <v>2522</v>
      </c>
      <c r="D2174" s="25"/>
      <c r="E2174" s="39" t="str">
        <f>HYPERLINK("https://www.google.ru/search?q=1376794-348&amp;newwindow=1&amp;tbm=isch","Еще фото")</f>
        <v>Еще фото</v>
      </c>
      <c r="F2174" s="13"/>
      <c r="G2174" s="11" t="s">
        <v>2202</v>
      </c>
      <c r="H2174" s="11" t="s">
        <v>27</v>
      </c>
      <c r="I2174" s="14" t="s">
        <v>2190</v>
      </c>
      <c r="J2174" s="14" t="s">
        <v>29</v>
      </c>
      <c r="K2174" s="15" t="s">
        <v>30</v>
      </c>
      <c r="L2174" s="14" t="s">
        <v>2518</v>
      </c>
      <c r="M2174" s="14" t="s">
        <v>32</v>
      </c>
      <c r="N2174" s="14" t="s">
        <v>125</v>
      </c>
      <c r="O2174" s="14"/>
      <c r="P2174" s="15" t="s">
        <v>100</v>
      </c>
      <c r="Q2174" s="16">
        <v>11099</v>
      </c>
      <c r="R2174" s="17">
        <v>40</v>
      </c>
      <c r="S2174" s="18">
        <v>7658.3099999999986</v>
      </c>
      <c r="T2174" s="19" t="s">
        <v>36</v>
      </c>
      <c r="U2174" s="20" t="s">
        <v>37</v>
      </c>
      <c r="V2174" s="21" t="s">
        <v>38</v>
      </c>
      <c r="W2174" s="22">
        <v>2</v>
      </c>
      <c r="X2174" s="23"/>
    </row>
    <row r="2175" spans="1:24" s="1" customFormat="1" ht="108" customHeight="1" x14ac:dyDescent="0.3">
      <c r="A2175" s="11" t="s">
        <v>23</v>
      </c>
      <c r="B2175" s="11" t="s">
        <v>2519</v>
      </c>
      <c r="C2175" s="12" t="s">
        <v>2523</v>
      </c>
      <c r="D2175" s="25"/>
      <c r="E2175" s="39" t="str">
        <f>HYPERLINK("https://www.google.ru/search?q=1376794-743&amp;newwindow=1&amp;tbm=isch","Еще фото")</f>
        <v>Еще фото</v>
      </c>
      <c r="F2175" s="13"/>
      <c r="G2175" s="11" t="s">
        <v>2202</v>
      </c>
      <c r="H2175" s="11" t="s">
        <v>27</v>
      </c>
      <c r="I2175" s="14" t="s">
        <v>2190</v>
      </c>
      <c r="J2175" s="14" t="s">
        <v>29</v>
      </c>
      <c r="K2175" s="15" t="s">
        <v>30</v>
      </c>
      <c r="L2175" s="14" t="s">
        <v>2521</v>
      </c>
      <c r="M2175" s="14" t="s">
        <v>32</v>
      </c>
      <c r="N2175" s="14" t="s">
        <v>1896</v>
      </c>
      <c r="O2175" s="14"/>
      <c r="P2175" s="15" t="s">
        <v>779</v>
      </c>
      <c r="Q2175" s="16">
        <v>13999</v>
      </c>
      <c r="R2175" s="17">
        <v>40</v>
      </c>
      <c r="S2175" s="18">
        <v>9659.31</v>
      </c>
      <c r="T2175" s="19" t="s">
        <v>36</v>
      </c>
      <c r="U2175" s="20" t="s">
        <v>39</v>
      </c>
      <c r="V2175" s="21" t="s">
        <v>40</v>
      </c>
      <c r="W2175" s="22">
        <v>1</v>
      </c>
      <c r="X2175" s="23"/>
    </row>
    <row r="2176" spans="1:24" s="1" customFormat="1" ht="51.95" customHeight="1" x14ac:dyDescent="0.3">
      <c r="A2176" s="11" t="s">
        <v>23</v>
      </c>
      <c r="B2176" s="11" t="s">
        <v>2524</v>
      </c>
      <c r="C2176" s="12" t="s">
        <v>2525</v>
      </c>
      <c r="D2176" s="59"/>
      <c r="E2176" s="39" t="str">
        <f>HYPERLINK("https://www.google.ru/search?q=1377043-002&amp;newwindow=1&amp;tbm=isch","Еще фото")</f>
        <v>Еще фото</v>
      </c>
      <c r="F2176" s="13"/>
      <c r="G2176" s="11" t="s">
        <v>2202</v>
      </c>
      <c r="H2176" s="11" t="s">
        <v>27</v>
      </c>
      <c r="I2176" s="14" t="s">
        <v>2190</v>
      </c>
      <c r="J2176" s="14" t="s">
        <v>29</v>
      </c>
      <c r="K2176" s="15" t="s">
        <v>64</v>
      </c>
      <c r="L2176" s="56" t="s">
        <v>2521</v>
      </c>
      <c r="M2176" s="14" t="s">
        <v>32</v>
      </c>
      <c r="N2176" s="14" t="s">
        <v>33</v>
      </c>
      <c r="O2176" s="14"/>
      <c r="P2176" s="15" t="s">
        <v>100</v>
      </c>
      <c r="Q2176" s="16">
        <v>10699</v>
      </c>
      <c r="R2176" s="17">
        <v>40</v>
      </c>
      <c r="S2176" s="18">
        <v>7382.3099999999986</v>
      </c>
      <c r="T2176" s="19" t="s">
        <v>36</v>
      </c>
      <c r="U2176" s="20" t="s">
        <v>69</v>
      </c>
      <c r="V2176" s="21" t="s">
        <v>70</v>
      </c>
      <c r="W2176" s="22">
        <v>4</v>
      </c>
      <c r="X2176" s="23"/>
    </row>
    <row r="2177" spans="1:24" s="1" customFormat="1" ht="60.95" customHeight="1" x14ac:dyDescent="0.3">
      <c r="A2177" s="24" t="s">
        <v>23</v>
      </c>
      <c r="B2177" s="24" t="s">
        <v>2524</v>
      </c>
      <c r="C2177" s="12" t="s">
        <v>2525</v>
      </c>
      <c r="D2177" s="60"/>
      <c r="E2177" s="39" t="str">
        <f>HYPERLINK("https://www.google.ru/search?q=1377043-002&amp;newwindow=1&amp;tbm=isch","Еще фото")</f>
        <v>Еще фото</v>
      </c>
      <c r="F2177" s="13"/>
      <c r="G2177" s="24" t="s">
        <v>2202</v>
      </c>
      <c r="H2177" s="24" t="s">
        <v>27</v>
      </c>
      <c r="I2177" s="24" t="s">
        <v>2190</v>
      </c>
      <c r="J2177" s="14" t="s">
        <v>29</v>
      </c>
      <c r="K2177" s="15" t="s">
        <v>64</v>
      </c>
      <c r="L2177" s="58"/>
      <c r="M2177" s="14" t="s">
        <v>32</v>
      </c>
      <c r="N2177" s="14" t="s">
        <v>33</v>
      </c>
      <c r="O2177" s="14"/>
      <c r="P2177" s="15" t="s">
        <v>100</v>
      </c>
      <c r="Q2177" s="16">
        <v>10699</v>
      </c>
      <c r="R2177" s="17">
        <v>40</v>
      </c>
      <c r="S2177" s="18">
        <v>7382.3099999999986</v>
      </c>
      <c r="T2177" s="19" t="s">
        <v>36</v>
      </c>
      <c r="U2177" s="20" t="s">
        <v>37</v>
      </c>
      <c r="V2177" s="21" t="s">
        <v>86</v>
      </c>
      <c r="W2177" s="22">
        <v>1</v>
      </c>
      <c r="X2177" s="23"/>
    </row>
    <row r="2178" spans="1:24" s="1" customFormat="1" ht="51.95" customHeight="1" x14ac:dyDescent="0.3">
      <c r="A2178" s="11" t="s">
        <v>23</v>
      </c>
      <c r="B2178" s="11" t="s">
        <v>2305</v>
      </c>
      <c r="C2178" s="12" t="s">
        <v>2526</v>
      </c>
      <c r="D2178" s="59"/>
      <c r="E2178" s="39" t="str">
        <f>HYPERLINK("https://www.google.ru/search?q=1378495-001&amp;newwindow=1&amp;tbm=isch","Еще фото")</f>
        <v>Еще фото</v>
      </c>
      <c r="F2178" s="13"/>
      <c r="G2178" s="11" t="s">
        <v>2202</v>
      </c>
      <c r="H2178" s="11" t="s">
        <v>27</v>
      </c>
      <c r="I2178" s="14" t="s">
        <v>2190</v>
      </c>
      <c r="J2178" s="14" t="s">
        <v>29</v>
      </c>
      <c r="K2178" s="15" t="s">
        <v>30</v>
      </c>
      <c r="L2178" s="56" t="s">
        <v>2307</v>
      </c>
      <c r="M2178" s="14" t="s">
        <v>32</v>
      </c>
      <c r="N2178" s="14" t="s">
        <v>33</v>
      </c>
      <c r="O2178" s="14"/>
      <c r="P2178" s="15" t="s">
        <v>51</v>
      </c>
      <c r="Q2178" s="16">
        <v>21999</v>
      </c>
      <c r="R2178" s="17">
        <v>40</v>
      </c>
      <c r="S2178" s="18">
        <v>15179.309999999998</v>
      </c>
      <c r="T2178" s="19" t="s">
        <v>36</v>
      </c>
      <c r="U2178" s="20" t="s">
        <v>37</v>
      </c>
      <c r="V2178" s="21" t="s">
        <v>38</v>
      </c>
      <c r="W2178" s="22">
        <v>1</v>
      </c>
      <c r="X2178" s="23"/>
    </row>
    <row r="2179" spans="1:24" s="1" customFormat="1" ht="60.95" customHeight="1" x14ac:dyDescent="0.3">
      <c r="A2179" s="24" t="s">
        <v>23</v>
      </c>
      <c r="B2179" s="24" t="s">
        <v>2305</v>
      </c>
      <c r="C2179" s="12" t="s">
        <v>2526</v>
      </c>
      <c r="D2179" s="60"/>
      <c r="E2179" s="39" t="str">
        <f>HYPERLINK("https://www.google.ru/search?q=1378495-001&amp;newwindow=1&amp;tbm=isch","Еще фото")</f>
        <v>Еще фото</v>
      </c>
      <c r="F2179" s="13"/>
      <c r="G2179" s="24" t="s">
        <v>2202</v>
      </c>
      <c r="H2179" s="24" t="s">
        <v>27</v>
      </c>
      <c r="I2179" s="24" t="s">
        <v>2190</v>
      </c>
      <c r="J2179" s="14" t="s">
        <v>29</v>
      </c>
      <c r="K2179" s="15" t="s">
        <v>30</v>
      </c>
      <c r="L2179" s="58"/>
      <c r="M2179" s="14" t="s">
        <v>32</v>
      </c>
      <c r="N2179" s="14" t="s">
        <v>33</v>
      </c>
      <c r="O2179" s="14"/>
      <c r="P2179" s="15" t="s">
        <v>51</v>
      </c>
      <c r="Q2179" s="16">
        <v>21999</v>
      </c>
      <c r="R2179" s="17">
        <v>40</v>
      </c>
      <c r="S2179" s="18">
        <v>15179.309999999998</v>
      </c>
      <c r="T2179" s="19" t="s">
        <v>36</v>
      </c>
      <c r="U2179" s="20" t="s">
        <v>39</v>
      </c>
      <c r="V2179" s="21" t="s">
        <v>40</v>
      </c>
      <c r="W2179" s="22">
        <v>1</v>
      </c>
      <c r="X2179" s="23"/>
    </row>
    <row r="2180" spans="1:24" s="1" customFormat="1" ht="26.1" customHeight="1" x14ac:dyDescent="0.3">
      <c r="A2180" s="11" t="s">
        <v>23</v>
      </c>
      <c r="B2180" s="11" t="s">
        <v>2527</v>
      </c>
      <c r="C2180" s="12" t="s">
        <v>2528</v>
      </c>
      <c r="D2180" s="53"/>
      <c r="E2180" s="39" t="str">
        <f>HYPERLINK("https://www.google.ru/search?q=1379157-001&amp;newwindow=1&amp;tbm=isch","Еще фото")</f>
        <v>Еще фото</v>
      </c>
      <c r="F2180" s="13" t="s">
        <v>98</v>
      </c>
      <c r="G2180" s="11" t="s">
        <v>2202</v>
      </c>
      <c r="H2180" s="11" t="s">
        <v>27</v>
      </c>
      <c r="I2180" s="14" t="s">
        <v>2190</v>
      </c>
      <c r="J2180" s="14" t="s">
        <v>29</v>
      </c>
      <c r="K2180" s="15" t="s">
        <v>64</v>
      </c>
      <c r="L2180" s="56" t="s">
        <v>2529</v>
      </c>
      <c r="M2180" s="14"/>
      <c r="N2180" s="14" t="s">
        <v>33</v>
      </c>
      <c r="O2180" s="14"/>
      <c r="P2180" s="15" t="s">
        <v>261</v>
      </c>
      <c r="Q2180" s="16">
        <v>8199</v>
      </c>
      <c r="R2180" s="17">
        <v>40</v>
      </c>
      <c r="S2180" s="18">
        <v>5657.3099999999995</v>
      </c>
      <c r="T2180" s="19" t="s">
        <v>36</v>
      </c>
      <c r="U2180" s="20" t="s">
        <v>69</v>
      </c>
      <c r="V2180" s="21" t="s">
        <v>70</v>
      </c>
      <c r="W2180" s="22">
        <v>11</v>
      </c>
      <c r="X2180" s="23"/>
    </row>
    <row r="2181" spans="1:24" s="1" customFormat="1" ht="26.1" customHeight="1" x14ac:dyDescent="0.3">
      <c r="A2181" s="24" t="s">
        <v>23</v>
      </c>
      <c r="B2181" s="24" t="s">
        <v>2527</v>
      </c>
      <c r="C2181" s="12" t="s">
        <v>2528</v>
      </c>
      <c r="D2181" s="54"/>
      <c r="E2181" s="39" t="str">
        <f>HYPERLINK("https://www.google.ru/search?q=1379157-001&amp;newwindow=1&amp;tbm=isch","Еще фото")</f>
        <v>Еще фото</v>
      </c>
      <c r="F2181" s="13" t="s">
        <v>98</v>
      </c>
      <c r="G2181" s="24" t="s">
        <v>2202</v>
      </c>
      <c r="H2181" s="24" t="s">
        <v>27</v>
      </c>
      <c r="I2181" s="24" t="s">
        <v>2190</v>
      </c>
      <c r="J2181" s="14" t="s">
        <v>29</v>
      </c>
      <c r="K2181" s="15" t="s">
        <v>64</v>
      </c>
      <c r="L2181" s="57"/>
      <c r="M2181" s="14"/>
      <c r="N2181" s="14" t="s">
        <v>33</v>
      </c>
      <c r="O2181" s="14"/>
      <c r="P2181" s="15" t="s">
        <v>261</v>
      </c>
      <c r="Q2181" s="16">
        <v>8199</v>
      </c>
      <c r="R2181" s="17">
        <v>40</v>
      </c>
      <c r="S2181" s="18">
        <v>5657.3099999999995</v>
      </c>
      <c r="T2181" s="19" t="s">
        <v>36</v>
      </c>
      <c r="U2181" s="20" t="s">
        <v>37</v>
      </c>
      <c r="V2181" s="21" t="s">
        <v>86</v>
      </c>
      <c r="W2181" s="22">
        <v>12</v>
      </c>
      <c r="X2181" s="23"/>
    </row>
    <row r="2182" spans="1:24" s="1" customFormat="1" ht="26.1" customHeight="1" x14ac:dyDescent="0.3">
      <c r="A2182" s="24" t="s">
        <v>23</v>
      </c>
      <c r="B2182" s="24" t="s">
        <v>2527</v>
      </c>
      <c r="C2182" s="12" t="s">
        <v>2528</v>
      </c>
      <c r="D2182" s="54"/>
      <c r="E2182" s="39" t="str">
        <f>HYPERLINK("https://www.google.ru/search?q=1379157-001&amp;newwindow=1&amp;tbm=isch","Еще фото")</f>
        <v>Еще фото</v>
      </c>
      <c r="F2182" s="13" t="s">
        <v>98</v>
      </c>
      <c r="G2182" s="24" t="s">
        <v>2202</v>
      </c>
      <c r="H2182" s="24" t="s">
        <v>27</v>
      </c>
      <c r="I2182" s="24" t="s">
        <v>2190</v>
      </c>
      <c r="J2182" s="14" t="s">
        <v>29</v>
      </c>
      <c r="K2182" s="15" t="s">
        <v>64</v>
      </c>
      <c r="L2182" s="57"/>
      <c r="M2182" s="14"/>
      <c r="N2182" s="14" t="s">
        <v>33</v>
      </c>
      <c r="O2182" s="14"/>
      <c r="P2182" s="15" t="s">
        <v>261</v>
      </c>
      <c r="Q2182" s="16">
        <v>8199</v>
      </c>
      <c r="R2182" s="17">
        <v>40</v>
      </c>
      <c r="S2182" s="18">
        <v>5657.3099999999995</v>
      </c>
      <c r="T2182" s="19" t="s">
        <v>36</v>
      </c>
      <c r="U2182" s="20" t="s">
        <v>39</v>
      </c>
      <c r="V2182" s="21" t="s">
        <v>38</v>
      </c>
      <c r="W2182" s="22">
        <v>13</v>
      </c>
      <c r="X2182" s="23"/>
    </row>
    <row r="2183" spans="1:24" s="1" customFormat="1" ht="26.1" customHeight="1" x14ac:dyDescent="0.3">
      <c r="A2183" s="24" t="s">
        <v>23</v>
      </c>
      <c r="B2183" s="24" t="s">
        <v>2527</v>
      </c>
      <c r="C2183" s="12" t="s">
        <v>2528</v>
      </c>
      <c r="D2183" s="55"/>
      <c r="E2183" s="39" t="str">
        <f>HYPERLINK("https://www.google.ru/search?q=1379157-001&amp;newwindow=1&amp;tbm=isch","Еще фото")</f>
        <v>Еще фото</v>
      </c>
      <c r="F2183" s="13" t="s">
        <v>98</v>
      </c>
      <c r="G2183" s="24" t="s">
        <v>2202</v>
      </c>
      <c r="H2183" s="24" t="s">
        <v>27</v>
      </c>
      <c r="I2183" s="24" t="s">
        <v>2190</v>
      </c>
      <c r="J2183" s="14" t="s">
        <v>29</v>
      </c>
      <c r="K2183" s="15" t="s">
        <v>64</v>
      </c>
      <c r="L2183" s="58"/>
      <c r="M2183" s="14"/>
      <c r="N2183" s="14" t="s">
        <v>33</v>
      </c>
      <c r="O2183" s="14"/>
      <c r="P2183" s="15" t="s">
        <v>261</v>
      </c>
      <c r="Q2183" s="16">
        <v>8199</v>
      </c>
      <c r="R2183" s="17">
        <v>40</v>
      </c>
      <c r="S2183" s="18">
        <v>5657.3099999999995</v>
      </c>
      <c r="T2183" s="19" t="s">
        <v>36</v>
      </c>
      <c r="U2183" s="20" t="s">
        <v>41</v>
      </c>
      <c r="V2183" s="21" t="s">
        <v>40</v>
      </c>
      <c r="W2183" s="22">
        <v>15</v>
      </c>
      <c r="X2183" s="23"/>
    </row>
    <row r="2184" spans="1:24" s="1" customFormat="1" ht="21" customHeight="1" x14ac:dyDescent="0.3">
      <c r="A2184" s="11" t="s">
        <v>23</v>
      </c>
      <c r="B2184" s="11" t="s">
        <v>2530</v>
      </c>
      <c r="C2184" s="26" t="s">
        <v>2531</v>
      </c>
      <c r="D2184" s="53"/>
      <c r="E2184" s="39" t="str">
        <f>HYPERLINK("https://www.google.ru/search?q=1379288-001&amp;newwindow=1&amp;tbm=isch","Еще фото")</f>
        <v>Еще фото</v>
      </c>
      <c r="F2184" s="13" t="s">
        <v>98</v>
      </c>
      <c r="G2184" s="11" t="s">
        <v>2189</v>
      </c>
      <c r="H2184" s="11" t="s">
        <v>27</v>
      </c>
      <c r="I2184" s="14" t="s">
        <v>2190</v>
      </c>
      <c r="J2184" s="14" t="s">
        <v>29</v>
      </c>
      <c r="K2184" s="15" t="s">
        <v>30</v>
      </c>
      <c r="L2184" s="56" t="s">
        <v>2532</v>
      </c>
      <c r="M2184" s="14"/>
      <c r="N2184" s="14" t="s">
        <v>33</v>
      </c>
      <c r="O2184" s="14"/>
      <c r="P2184" s="15" t="s">
        <v>2533</v>
      </c>
      <c r="Q2184" s="16">
        <v>7599</v>
      </c>
      <c r="R2184" s="17">
        <v>40</v>
      </c>
      <c r="S2184" s="18">
        <v>5243.3099999999995</v>
      </c>
      <c r="T2184" s="19" t="s">
        <v>36</v>
      </c>
      <c r="U2184" s="20" t="s">
        <v>37</v>
      </c>
      <c r="V2184" s="21" t="s">
        <v>38</v>
      </c>
      <c r="W2184" s="22">
        <v>4</v>
      </c>
      <c r="X2184" s="23"/>
    </row>
    <row r="2185" spans="1:24" s="1" customFormat="1" ht="21" customHeight="1" x14ac:dyDescent="0.3">
      <c r="A2185" s="24" t="s">
        <v>23</v>
      </c>
      <c r="B2185" s="24" t="s">
        <v>2530</v>
      </c>
      <c r="C2185" s="27" t="s">
        <v>2531</v>
      </c>
      <c r="D2185" s="54"/>
      <c r="E2185" s="39" t="str">
        <f>HYPERLINK("https://www.google.ru/search?q=1379288-001&amp;newwindow=1&amp;tbm=isch","Еще фото")</f>
        <v>Еще фото</v>
      </c>
      <c r="F2185" s="13" t="s">
        <v>98</v>
      </c>
      <c r="G2185" s="24" t="s">
        <v>2189</v>
      </c>
      <c r="H2185" s="24" t="s">
        <v>27</v>
      </c>
      <c r="I2185" s="24" t="s">
        <v>2190</v>
      </c>
      <c r="J2185" s="14" t="s">
        <v>29</v>
      </c>
      <c r="K2185" s="15" t="s">
        <v>30</v>
      </c>
      <c r="L2185" s="57"/>
      <c r="M2185" s="14"/>
      <c r="N2185" s="14" t="s">
        <v>33</v>
      </c>
      <c r="O2185" s="14"/>
      <c r="P2185" s="15" t="s">
        <v>2533</v>
      </c>
      <c r="Q2185" s="16">
        <v>7599</v>
      </c>
      <c r="R2185" s="17">
        <v>40</v>
      </c>
      <c r="S2185" s="18">
        <v>5243.3099999999995</v>
      </c>
      <c r="T2185" s="19" t="s">
        <v>36</v>
      </c>
      <c r="U2185" s="20" t="s">
        <v>39</v>
      </c>
      <c r="V2185" s="21" t="s">
        <v>40</v>
      </c>
      <c r="W2185" s="22">
        <v>11</v>
      </c>
      <c r="X2185" s="23"/>
    </row>
    <row r="2186" spans="1:24" s="1" customFormat="1" ht="21" customHeight="1" x14ac:dyDescent="0.3">
      <c r="A2186" s="24" t="s">
        <v>23</v>
      </c>
      <c r="B2186" s="24" t="s">
        <v>2530</v>
      </c>
      <c r="C2186" s="27" t="s">
        <v>2531</v>
      </c>
      <c r="D2186" s="54"/>
      <c r="E2186" s="39" t="str">
        <f>HYPERLINK("https://www.google.ru/search?q=1379288-001&amp;newwindow=1&amp;tbm=isch","Еще фото")</f>
        <v>Еще фото</v>
      </c>
      <c r="F2186" s="13" t="s">
        <v>98</v>
      </c>
      <c r="G2186" s="24" t="s">
        <v>2189</v>
      </c>
      <c r="H2186" s="24" t="s">
        <v>27</v>
      </c>
      <c r="I2186" s="24" t="s">
        <v>2190</v>
      </c>
      <c r="J2186" s="14" t="s">
        <v>29</v>
      </c>
      <c r="K2186" s="15" t="s">
        <v>30</v>
      </c>
      <c r="L2186" s="57"/>
      <c r="M2186" s="14"/>
      <c r="N2186" s="14" t="s">
        <v>33</v>
      </c>
      <c r="O2186" s="14"/>
      <c r="P2186" s="15" t="s">
        <v>2533</v>
      </c>
      <c r="Q2186" s="16">
        <v>7599</v>
      </c>
      <c r="R2186" s="17">
        <v>40</v>
      </c>
      <c r="S2186" s="18">
        <v>5243.3099999999995</v>
      </c>
      <c r="T2186" s="19" t="s">
        <v>36</v>
      </c>
      <c r="U2186" s="20" t="s">
        <v>41</v>
      </c>
      <c r="V2186" s="21" t="s">
        <v>42</v>
      </c>
      <c r="W2186" s="22">
        <v>4</v>
      </c>
      <c r="X2186" s="23"/>
    </row>
    <row r="2187" spans="1:24" s="1" customFormat="1" ht="21" customHeight="1" x14ac:dyDescent="0.3">
      <c r="A2187" s="24" t="s">
        <v>23</v>
      </c>
      <c r="B2187" s="24" t="s">
        <v>2530</v>
      </c>
      <c r="C2187" s="27" t="s">
        <v>2531</v>
      </c>
      <c r="D2187" s="54"/>
      <c r="E2187" s="39" t="str">
        <f>HYPERLINK("https://www.google.ru/search?q=1379288-001&amp;newwindow=1&amp;tbm=isch","Еще фото")</f>
        <v>Еще фото</v>
      </c>
      <c r="F2187" s="13" t="s">
        <v>98</v>
      </c>
      <c r="G2187" s="24" t="s">
        <v>2189</v>
      </c>
      <c r="H2187" s="24" t="s">
        <v>27</v>
      </c>
      <c r="I2187" s="24" t="s">
        <v>2190</v>
      </c>
      <c r="J2187" s="14" t="s">
        <v>29</v>
      </c>
      <c r="K2187" s="15" t="s">
        <v>30</v>
      </c>
      <c r="L2187" s="57"/>
      <c r="M2187" s="14"/>
      <c r="N2187" s="14" t="s">
        <v>33</v>
      </c>
      <c r="O2187" s="14"/>
      <c r="P2187" s="15" t="s">
        <v>2533</v>
      </c>
      <c r="Q2187" s="16">
        <v>7599</v>
      </c>
      <c r="R2187" s="17">
        <v>40</v>
      </c>
      <c r="S2187" s="18">
        <v>5243.3099999999995</v>
      </c>
      <c r="T2187" s="19" t="s">
        <v>36</v>
      </c>
      <c r="U2187" s="20" t="s">
        <v>43</v>
      </c>
      <c r="V2187" s="21" t="s">
        <v>44</v>
      </c>
      <c r="W2187" s="22">
        <v>3</v>
      </c>
      <c r="X2187" s="23"/>
    </row>
    <row r="2188" spans="1:24" s="1" customFormat="1" ht="32.1" customHeight="1" x14ac:dyDescent="0.3">
      <c r="A2188" s="24" t="s">
        <v>23</v>
      </c>
      <c r="B2188" s="24" t="s">
        <v>2530</v>
      </c>
      <c r="C2188" s="27" t="s">
        <v>2531</v>
      </c>
      <c r="D2188" s="55"/>
      <c r="E2188" s="39" t="str">
        <f>HYPERLINK("https://www.google.ru/search?q=1379288-001&amp;newwindow=1&amp;tbm=isch","Еще фото")</f>
        <v>Еще фото</v>
      </c>
      <c r="F2188" s="13" t="s">
        <v>98</v>
      </c>
      <c r="G2188" s="24" t="s">
        <v>2189</v>
      </c>
      <c r="H2188" s="24" t="s">
        <v>27</v>
      </c>
      <c r="I2188" s="24" t="s">
        <v>2190</v>
      </c>
      <c r="J2188" s="14" t="s">
        <v>29</v>
      </c>
      <c r="K2188" s="15" t="s">
        <v>30</v>
      </c>
      <c r="L2188" s="58"/>
      <c r="M2188" s="14"/>
      <c r="N2188" s="14" t="s">
        <v>33</v>
      </c>
      <c r="O2188" s="14"/>
      <c r="P2188" s="15" t="s">
        <v>2533</v>
      </c>
      <c r="Q2188" s="16">
        <v>7599</v>
      </c>
      <c r="R2188" s="17">
        <v>40</v>
      </c>
      <c r="S2188" s="18">
        <v>5243.3099999999995</v>
      </c>
      <c r="T2188" s="19" t="s">
        <v>36</v>
      </c>
      <c r="U2188" s="20" t="s">
        <v>104</v>
      </c>
      <c r="V2188" s="21" t="s">
        <v>105</v>
      </c>
      <c r="W2188" s="22">
        <v>6</v>
      </c>
      <c r="X2188" s="23"/>
    </row>
    <row r="2189" spans="1:24" s="1" customFormat="1" ht="35.1" customHeight="1" x14ac:dyDescent="0.3">
      <c r="A2189" s="11" t="s">
        <v>23</v>
      </c>
      <c r="B2189" s="11" t="s">
        <v>2530</v>
      </c>
      <c r="C2189" s="12" t="s">
        <v>2534</v>
      </c>
      <c r="D2189" s="53"/>
      <c r="E2189" s="39" t="str">
        <f>HYPERLINK("https://www.google.ru/search?q=1379288-025&amp;newwindow=1&amp;tbm=isch","Еще фото")</f>
        <v>Еще фото</v>
      </c>
      <c r="F2189" s="13"/>
      <c r="G2189" s="11" t="s">
        <v>2189</v>
      </c>
      <c r="H2189" s="11" t="s">
        <v>27</v>
      </c>
      <c r="I2189" s="14" t="s">
        <v>2190</v>
      </c>
      <c r="J2189" s="14" t="s">
        <v>29</v>
      </c>
      <c r="K2189" s="15" t="s">
        <v>30</v>
      </c>
      <c r="L2189" s="56" t="s">
        <v>2532</v>
      </c>
      <c r="M2189" s="14"/>
      <c r="N2189" s="14" t="s">
        <v>84</v>
      </c>
      <c r="O2189" s="14"/>
      <c r="P2189" s="15" t="s">
        <v>779</v>
      </c>
      <c r="Q2189" s="16">
        <v>8499</v>
      </c>
      <c r="R2189" s="17">
        <v>40</v>
      </c>
      <c r="S2189" s="18">
        <v>5864.3099999999995</v>
      </c>
      <c r="T2189" s="19" t="s">
        <v>36</v>
      </c>
      <c r="U2189" s="20" t="s">
        <v>37</v>
      </c>
      <c r="V2189" s="21" t="s">
        <v>38</v>
      </c>
      <c r="W2189" s="22">
        <v>3</v>
      </c>
      <c r="X2189" s="23"/>
    </row>
    <row r="2190" spans="1:24" s="1" customFormat="1" ht="35.1" customHeight="1" x14ac:dyDescent="0.3">
      <c r="A2190" s="24" t="s">
        <v>23</v>
      </c>
      <c r="B2190" s="24" t="s">
        <v>2530</v>
      </c>
      <c r="C2190" s="12" t="s">
        <v>2534</v>
      </c>
      <c r="D2190" s="54"/>
      <c r="E2190" s="39" t="str">
        <f>HYPERLINK("https://www.google.ru/search?q=1379288-025&amp;newwindow=1&amp;tbm=isch","Еще фото")</f>
        <v>Еще фото</v>
      </c>
      <c r="F2190" s="13"/>
      <c r="G2190" s="24" t="s">
        <v>2189</v>
      </c>
      <c r="H2190" s="24" t="s">
        <v>27</v>
      </c>
      <c r="I2190" s="24" t="s">
        <v>2190</v>
      </c>
      <c r="J2190" s="14" t="s">
        <v>29</v>
      </c>
      <c r="K2190" s="15" t="s">
        <v>30</v>
      </c>
      <c r="L2190" s="57"/>
      <c r="M2190" s="14"/>
      <c r="N2190" s="14" t="s">
        <v>84</v>
      </c>
      <c r="O2190" s="14"/>
      <c r="P2190" s="15" t="s">
        <v>779</v>
      </c>
      <c r="Q2190" s="16">
        <v>8499</v>
      </c>
      <c r="R2190" s="17">
        <v>40</v>
      </c>
      <c r="S2190" s="18">
        <v>5864.3099999999995</v>
      </c>
      <c r="T2190" s="19" t="s">
        <v>36</v>
      </c>
      <c r="U2190" s="20" t="s">
        <v>39</v>
      </c>
      <c r="V2190" s="21" t="s">
        <v>40</v>
      </c>
      <c r="W2190" s="22">
        <v>3</v>
      </c>
      <c r="X2190" s="23"/>
    </row>
    <row r="2191" spans="1:24" s="1" customFormat="1" ht="36.950000000000003" customHeight="1" x14ac:dyDescent="0.3">
      <c r="A2191" s="24" t="s">
        <v>23</v>
      </c>
      <c r="B2191" s="24" t="s">
        <v>2530</v>
      </c>
      <c r="C2191" s="12" t="s">
        <v>2534</v>
      </c>
      <c r="D2191" s="55"/>
      <c r="E2191" s="39" t="str">
        <f>HYPERLINK("https://www.google.ru/search?q=1379288-025&amp;newwindow=1&amp;tbm=isch","Еще фото")</f>
        <v>Еще фото</v>
      </c>
      <c r="F2191" s="13"/>
      <c r="G2191" s="24" t="s">
        <v>2189</v>
      </c>
      <c r="H2191" s="24" t="s">
        <v>27</v>
      </c>
      <c r="I2191" s="24" t="s">
        <v>2190</v>
      </c>
      <c r="J2191" s="14" t="s">
        <v>29</v>
      </c>
      <c r="K2191" s="15" t="s">
        <v>30</v>
      </c>
      <c r="L2191" s="58"/>
      <c r="M2191" s="14"/>
      <c r="N2191" s="14" t="s">
        <v>84</v>
      </c>
      <c r="O2191" s="14"/>
      <c r="P2191" s="15" t="s">
        <v>779</v>
      </c>
      <c r="Q2191" s="16">
        <v>8499</v>
      </c>
      <c r="R2191" s="17">
        <v>40</v>
      </c>
      <c r="S2191" s="18">
        <v>5864.3099999999995</v>
      </c>
      <c r="T2191" s="19" t="s">
        <v>36</v>
      </c>
      <c r="U2191" s="20" t="s">
        <v>43</v>
      </c>
      <c r="V2191" s="21" t="s">
        <v>44</v>
      </c>
      <c r="W2191" s="22">
        <v>1</v>
      </c>
      <c r="X2191" s="23"/>
    </row>
    <row r="2192" spans="1:24" s="1" customFormat="1" ht="26.1" customHeight="1" x14ac:dyDescent="0.3">
      <c r="A2192" s="11" t="s">
        <v>23</v>
      </c>
      <c r="B2192" s="11" t="s">
        <v>2535</v>
      </c>
      <c r="C2192" s="12" t="s">
        <v>2536</v>
      </c>
      <c r="D2192" s="53"/>
      <c r="E2192" s="39" t="str">
        <f>HYPERLINK("https://www.google.ru/search?q=1379349-001&amp;newwindow=1&amp;tbm=isch","Еще фото")</f>
        <v>Еще фото</v>
      </c>
      <c r="F2192" s="13" t="s">
        <v>98</v>
      </c>
      <c r="G2192" s="11" t="s">
        <v>2189</v>
      </c>
      <c r="H2192" s="11" t="s">
        <v>27</v>
      </c>
      <c r="I2192" s="14" t="s">
        <v>2190</v>
      </c>
      <c r="J2192" s="14" t="s">
        <v>29</v>
      </c>
      <c r="K2192" s="15" t="s">
        <v>64</v>
      </c>
      <c r="L2192" s="56" t="s">
        <v>2537</v>
      </c>
      <c r="M2192" s="14"/>
      <c r="N2192" s="14" t="s">
        <v>33</v>
      </c>
      <c r="O2192" s="14"/>
      <c r="P2192" s="15" t="s">
        <v>2533</v>
      </c>
      <c r="Q2192" s="16">
        <v>6999</v>
      </c>
      <c r="R2192" s="17">
        <v>40</v>
      </c>
      <c r="S2192" s="18">
        <v>4829.3099999999995</v>
      </c>
      <c r="T2192" s="19" t="s">
        <v>36</v>
      </c>
      <c r="U2192" s="20" t="s">
        <v>69</v>
      </c>
      <c r="V2192" s="21" t="s">
        <v>70</v>
      </c>
      <c r="W2192" s="22">
        <v>4</v>
      </c>
      <c r="X2192" s="23"/>
    </row>
    <row r="2193" spans="1:24" s="1" customFormat="1" ht="26.1" customHeight="1" x14ac:dyDescent="0.3">
      <c r="A2193" s="24" t="s">
        <v>23</v>
      </c>
      <c r="B2193" s="24" t="s">
        <v>2535</v>
      </c>
      <c r="C2193" s="12" t="s">
        <v>2536</v>
      </c>
      <c r="D2193" s="54"/>
      <c r="E2193" s="39" t="str">
        <f>HYPERLINK("https://www.google.ru/search?q=1379349-001&amp;newwindow=1&amp;tbm=isch","Еще фото")</f>
        <v>Еще фото</v>
      </c>
      <c r="F2193" s="13" t="s">
        <v>98</v>
      </c>
      <c r="G2193" s="24" t="s">
        <v>2189</v>
      </c>
      <c r="H2193" s="24" t="s">
        <v>27</v>
      </c>
      <c r="I2193" s="24" t="s">
        <v>2190</v>
      </c>
      <c r="J2193" s="14" t="s">
        <v>29</v>
      </c>
      <c r="K2193" s="15" t="s">
        <v>64</v>
      </c>
      <c r="L2193" s="57"/>
      <c r="M2193" s="14"/>
      <c r="N2193" s="14" t="s">
        <v>33</v>
      </c>
      <c r="O2193" s="14"/>
      <c r="P2193" s="15" t="s">
        <v>2533</v>
      </c>
      <c r="Q2193" s="16">
        <v>6999</v>
      </c>
      <c r="R2193" s="17">
        <v>40</v>
      </c>
      <c r="S2193" s="18">
        <v>4829.3099999999995</v>
      </c>
      <c r="T2193" s="19" t="s">
        <v>36</v>
      </c>
      <c r="U2193" s="20" t="s">
        <v>37</v>
      </c>
      <c r="V2193" s="21" t="s">
        <v>86</v>
      </c>
      <c r="W2193" s="22">
        <v>11</v>
      </c>
      <c r="X2193" s="23"/>
    </row>
    <row r="2194" spans="1:24" s="1" customFormat="1" ht="26.1" customHeight="1" x14ac:dyDescent="0.3">
      <c r="A2194" s="24" t="s">
        <v>23</v>
      </c>
      <c r="B2194" s="24" t="s">
        <v>2535</v>
      </c>
      <c r="C2194" s="12" t="s">
        <v>2536</v>
      </c>
      <c r="D2194" s="54"/>
      <c r="E2194" s="39" t="str">
        <f>HYPERLINK("https://www.google.ru/search?q=1379349-001&amp;newwindow=1&amp;tbm=isch","Еще фото")</f>
        <v>Еще фото</v>
      </c>
      <c r="F2194" s="13" t="s">
        <v>98</v>
      </c>
      <c r="G2194" s="24" t="s">
        <v>2189</v>
      </c>
      <c r="H2194" s="24" t="s">
        <v>27</v>
      </c>
      <c r="I2194" s="24" t="s">
        <v>2190</v>
      </c>
      <c r="J2194" s="14" t="s">
        <v>29</v>
      </c>
      <c r="K2194" s="15" t="s">
        <v>64</v>
      </c>
      <c r="L2194" s="57"/>
      <c r="M2194" s="14"/>
      <c r="N2194" s="14" t="s">
        <v>33</v>
      </c>
      <c r="O2194" s="14"/>
      <c r="P2194" s="15" t="s">
        <v>2533</v>
      </c>
      <c r="Q2194" s="16">
        <v>6999</v>
      </c>
      <c r="R2194" s="17">
        <v>40</v>
      </c>
      <c r="S2194" s="18">
        <v>4829.3099999999995</v>
      </c>
      <c r="T2194" s="19" t="s">
        <v>36</v>
      </c>
      <c r="U2194" s="20" t="s">
        <v>39</v>
      </c>
      <c r="V2194" s="21" t="s">
        <v>38</v>
      </c>
      <c r="W2194" s="22">
        <v>14</v>
      </c>
      <c r="X2194" s="23"/>
    </row>
    <row r="2195" spans="1:24" s="1" customFormat="1" ht="26.1" customHeight="1" x14ac:dyDescent="0.3">
      <c r="A2195" s="24" t="s">
        <v>23</v>
      </c>
      <c r="B2195" s="24" t="s">
        <v>2535</v>
      </c>
      <c r="C2195" s="12" t="s">
        <v>2536</v>
      </c>
      <c r="D2195" s="55"/>
      <c r="E2195" s="39" t="str">
        <f>HYPERLINK("https://www.google.ru/search?q=1379349-001&amp;newwindow=1&amp;tbm=isch","Еще фото")</f>
        <v>Еще фото</v>
      </c>
      <c r="F2195" s="13" t="s">
        <v>98</v>
      </c>
      <c r="G2195" s="24" t="s">
        <v>2189</v>
      </c>
      <c r="H2195" s="24" t="s">
        <v>27</v>
      </c>
      <c r="I2195" s="24" t="s">
        <v>2190</v>
      </c>
      <c r="J2195" s="14" t="s">
        <v>29</v>
      </c>
      <c r="K2195" s="15" t="s">
        <v>64</v>
      </c>
      <c r="L2195" s="58"/>
      <c r="M2195" s="14"/>
      <c r="N2195" s="14" t="s">
        <v>33</v>
      </c>
      <c r="O2195" s="14"/>
      <c r="P2195" s="15" t="s">
        <v>2533</v>
      </c>
      <c r="Q2195" s="16">
        <v>6999</v>
      </c>
      <c r="R2195" s="17">
        <v>40</v>
      </c>
      <c r="S2195" s="18">
        <v>4829.3099999999995</v>
      </c>
      <c r="T2195" s="19" t="s">
        <v>36</v>
      </c>
      <c r="U2195" s="20" t="s">
        <v>41</v>
      </c>
      <c r="V2195" s="21" t="s">
        <v>40</v>
      </c>
      <c r="W2195" s="22">
        <v>11</v>
      </c>
      <c r="X2195" s="23"/>
    </row>
    <row r="2196" spans="1:24" s="1" customFormat="1" ht="26.1" customHeight="1" x14ac:dyDescent="0.3">
      <c r="A2196" s="11" t="s">
        <v>23</v>
      </c>
      <c r="B2196" s="11" t="s">
        <v>2538</v>
      </c>
      <c r="C2196" s="12" t="s">
        <v>2539</v>
      </c>
      <c r="D2196" s="53"/>
      <c r="E2196" s="39" t="str">
        <f>HYPERLINK("https://www.google.ru/search?q=1379349-703&amp;newwindow=1&amp;tbm=isch","Еще фото")</f>
        <v>Еще фото</v>
      </c>
      <c r="F2196" s="13"/>
      <c r="G2196" s="11" t="s">
        <v>2189</v>
      </c>
      <c r="H2196" s="11" t="s">
        <v>27</v>
      </c>
      <c r="I2196" s="14" t="s">
        <v>2190</v>
      </c>
      <c r="J2196" s="14" t="s">
        <v>29</v>
      </c>
      <c r="K2196" s="15" t="s">
        <v>64</v>
      </c>
      <c r="L2196" s="56" t="s">
        <v>2537</v>
      </c>
      <c r="M2196" s="14"/>
      <c r="N2196" s="14" t="s">
        <v>50</v>
      </c>
      <c r="O2196" s="14"/>
      <c r="P2196" s="15" t="s">
        <v>2533</v>
      </c>
      <c r="Q2196" s="16">
        <v>6999</v>
      </c>
      <c r="R2196" s="17">
        <v>40</v>
      </c>
      <c r="S2196" s="18">
        <v>4829.3099999999995</v>
      </c>
      <c r="T2196" s="19" t="s">
        <v>36</v>
      </c>
      <c r="U2196" s="20" t="s">
        <v>69</v>
      </c>
      <c r="V2196" s="21" t="s">
        <v>70</v>
      </c>
      <c r="W2196" s="22">
        <v>8</v>
      </c>
      <c r="X2196" s="23"/>
    </row>
    <row r="2197" spans="1:24" s="1" customFormat="1" ht="26.1" customHeight="1" x14ac:dyDescent="0.3">
      <c r="A2197" s="24" t="s">
        <v>23</v>
      </c>
      <c r="B2197" s="24" t="s">
        <v>2538</v>
      </c>
      <c r="C2197" s="12" t="s">
        <v>2539</v>
      </c>
      <c r="D2197" s="54"/>
      <c r="E2197" s="39" t="str">
        <f>HYPERLINK("https://www.google.ru/search?q=1379349-703&amp;newwindow=1&amp;tbm=isch","Еще фото")</f>
        <v>Еще фото</v>
      </c>
      <c r="F2197" s="13"/>
      <c r="G2197" s="24" t="s">
        <v>2189</v>
      </c>
      <c r="H2197" s="24" t="s">
        <v>27</v>
      </c>
      <c r="I2197" s="24" t="s">
        <v>2190</v>
      </c>
      <c r="J2197" s="14" t="s">
        <v>29</v>
      </c>
      <c r="K2197" s="15" t="s">
        <v>64</v>
      </c>
      <c r="L2197" s="57"/>
      <c r="M2197" s="14"/>
      <c r="N2197" s="14" t="s">
        <v>50</v>
      </c>
      <c r="O2197" s="14"/>
      <c r="P2197" s="15" t="s">
        <v>2533</v>
      </c>
      <c r="Q2197" s="16">
        <v>6999</v>
      </c>
      <c r="R2197" s="17">
        <v>40</v>
      </c>
      <c r="S2197" s="18">
        <v>4829.3099999999995</v>
      </c>
      <c r="T2197" s="19" t="s">
        <v>36</v>
      </c>
      <c r="U2197" s="20" t="s">
        <v>37</v>
      </c>
      <c r="V2197" s="21" t="s">
        <v>86</v>
      </c>
      <c r="W2197" s="22">
        <v>1</v>
      </c>
      <c r="X2197" s="23"/>
    </row>
    <row r="2198" spans="1:24" s="1" customFormat="1" ht="26.1" customHeight="1" x14ac:dyDescent="0.3">
      <c r="A2198" s="24" t="s">
        <v>23</v>
      </c>
      <c r="B2198" s="24" t="s">
        <v>2538</v>
      </c>
      <c r="C2198" s="12" t="s">
        <v>2539</v>
      </c>
      <c r="D2198" s="54"/>
      <c r="E2198" s="39" t="str">
        <f>HYPERLINK("https://www.google.ru/search?q=1379349-703&amp;newwindow=1&amp;tbm=isch","Еще фото")</f>
        <v>Еще фото</v>
      </c>
      <c r="F2198" s="13"/>
      <c r="G2198" s="24" t="s">
        <v>2189</v>
      </c>
      <c r="H2198" s="24" t="s">
        <v>27</v>
      </c>
      <c r="I2198" s="24" t="s">
        <v>2190</v>
      </c>
      <c r="J2198" s="14" t="s">
        <v>29</v>
      </c>
      <c r="K2198" s="15" t="s">
        <v>64</v>
      </c>
      <c r="L2198" s="57"/>
      <c r="M2198" s="14"/>
      <c r="N2198" s="14" t="s">
        <v>50</v>
      </c>
      <c r="O2198" s="14"/>
      <c r="P2198" s="15" t="s">
        <v>2533</v>
      </c>
      <c r="Q2198" s="16">
        <v>6999</v>
      </c>
      <c r="R2198" s="17">
        <v>40</v>
      </c>
      <c r="S2198" s="18">
        <v>4829.3099999999995</v>
      </c>
      <c r="T2198" s="19" t="s">
        <v>36</v>
      </c>
      <c r="U2198" s="20" t="s">
        <v>39</v>
      </c>
      <c r="V2198" s="21" t="s">
        <v>38</v>
      </c>
      <c r="W2198" s="22">
        <v>5</v>
      </c>
      <c r="X2198" s="23"/>
    </row>
    <row r="2199" spans="1:24" s="1" customFormat="1" ht="26.1" customHeight="1" x14ac:dyDescent="0.3">
      <c r="A2199" s="24" t="s">
        <v>23</v>
      </c>
      <c r="B2199" s="24" t="s">
        <v>2538</v>
      </c>
      <c r="C2199" s="12" t="s">
        <v>2539</v>
      </c>
      <c r="D2199" s="55"/>
      <c r="E2199" s="39" t="str">
        <f>HYPERLINK("https://www.google.ru/search?q=1379349-703&amp;newwindow=1&amp;tbm=isch","Еще фото")</f>
        <v>Еще фото</v>
      </c>
      <c r="F2199" s="13"/>
      <c r="G2199" s="24" t="s">
        <v>2189</v>
      </c>
      <c r="H2199" s="24" t="s">
        <v>27</v>
      </c>
      <c r="I2199" s="24" t="s">
        <v>2190</v>
      </c>
      <c r="J2199" s="14" t="s">
        <v>29</v>
      </c>
      <c r="K2199" s="15" t="s">
        <v>64</v>
      </c>
      <c r="L2199" s="58"/>
      <c r="M2199" s="14"/>
      <c r="N2199" s="14" t="s">
        <v>50</v>
      </c>
      <c r="O2199" s="14"/>
      <c r="P2199" s="15" t="s">
        <v>2533</v>
      </c>
      <c r="Q2199" s="16">
        <v>6999</v>
      </c>
      <c r="R2199" s="17">
        <v>40</v>
      </c>
      <c r="S2199" s="18">
        <v>4829.3099999999995</v>
      </c>
      <c r="T2199" s="19" t="s">
        <v>36</v>
      </c>
      <c r="U2199" s="20" t="s">
        <v>41</v>
      </c>
      <c r="V2199" s="21" t="s">
        <v>40</v>
      </c>
      <c r="W2199" s="22">
        <v>7</v>
      </c>
      <c r="X2199" s="23"/>
    </row>
    <row r="2200" spans="1:24" s="1" customFormat="1" ht="51.95" customHeight="1" x14ac:dyDescent="0.3">
      <c r="A2200" s="11" t="s">
        <v>23</v>
      </c>
      <c r="B2200" s="11" t="s">
        <v>2540</v>
      </c>
      <c r="C2200" s="12" t="s">
        <v>2541</v>
      </c>
      <c r="D2200" s="59"/>
      <c r="E2200" s="39" t="str">
        <f>HYPERLINK("https://www.google.ru/search?q=1379475-001&amp;newwindow=1&amp;tbm=isch","Еще фото")</f>
        <v>Еще фото</v>
      </c>
      <c r="F2200" s="13"/>
      <c r="G2200" s="11" t="s">
        <v>2189</v>
      </c>
      <c r="H2200" s="11" t="s">
        <v>27</v>
      </c>
      <c r="I2200" s="14" t="s">
        <v>2190</v>
      </c>
      <c r="J2200" s="14" t="s">
        <v>47</v>
      </c>
      <c r="K2200" s="15" t="s">
        <v>64</v>
      </c>
      <c r="L2200" s="56" t="s">
        <v>2542</v>
      </c>
      <c r="M2200" s="14"/>
      <c r="N2200" s="14" t="s">
        <v>33</v>
      </c>
      <c r="O2200" s="14"/>
      <c r="P2200" s="15" t="s">
        <v>113</v>
      </c>
      <c r="Q2200" s="16">
        <v>5499</v>
      </c>
      <c r="R2200" s="17">
        <v>40</v>
      </c>
      <c r="S2200" s="18">
        <v>3794.31</v>
      </c>
      <c r="T2200" s="19" t="s">
        <v>36</v>
      </c>
      <c r="U2200" s="20" t="s">
        <v>69</v>
      </c>
      <c r="V2200" s="21" t="s">
        <v>70</v>
      </c>
      <c r="W2200" s="22">
        <v>1</v>
      </c>
      <c r="X2200" s="23"/>
    </row>
    <row r="2201" spans="1:24" s="1" customFormat="1" ht="60.95" customHeight="1" x14ac:dyDescent="0.3">
      <c r="A2201" s="24" t="s">
        <v>23</v>
      </c>
      <c r="B2201" s="24" t="s">
        <v>2540</v>
      </c>
      <c r="C2201" s="12" t="s">
        <v>2541</v>
      </c>
      <c r="D2201" s="60"/>
      <c r="E2201" s="39" t="str">
        <f>HYPERLINK("https://www.google.ru/search?q=1379475-001&amp;newwindow=1&amp;tbm=isch","Еще фото")</f>
        <v>Еще фото</v>
      </c>
      <c r="F2201" s="13"/>
      <c r="G2201" s="24" t="s">
        <v>2189</v>
      </c>
      <c r="H2201" s="24" t="s">
        <v>27</v>
      </c>
      <c r="I2201" s="24" t="s">
        <v>2190</v>
      </c>
      <c r="J2201" s="14" t="s">
        <v>47</v>
      </c>
      <c r="K2201" s="15" t="s">
        <v>64</v>
      </c>
      <c r="L2201" s="58"/>
      <c r="M2201" s="14"/>
      <c r="N2201" s="14" t="s">
        <v>33</v>
      </c>
      <c r="O2201" s="14"/>
      <c r="P2201" s="15" t="s">
        <v>113</v>
      </c>
      <c r="Q2201" s="16">
        <v>5499</v>
      </c>
      <c r="R2201" s="17">
        <v>40</v>
      </c>
      <c r="S2201" s="18">
        <v>3794.31</v>
      </c>
      <c r="T2201" s="19" t="s">
        <v>36</v>
      </c>
      <c r="U2201" s="20" t="s">
        <v>37</v>
      </c>
      <c r="V2201" s="21" t="s">
        <v>86</v>
      </c>
      <c r="W2201" s="22">
        <v>1</v>
      </c>
      <c r="X2201" s="23"/>
    </row>
    <row r="2202" spans="1:24" s="1" customFormat="1" ht="108" customHeight="1" x14ac:dyDescent="0.3">
      <c r="A2202" s="11" t="s">
        <v>23</v>
      </c>
      <c r="B2202" s="11" t="s">
        <v>2543</v>
      </c>
      <c r="C2202" s="12" t="s">
        <v>2544</v>
      </c>
      <c r="D2202" s="25"/>
      <c r="E2202" s="39" t="str">
        <f>HYPERLINK("https://www.google.ru/search?q=1379475-012&amp;newwindow=1&amp;tbm=isch","Еще фото")</f>
        <v>Еще фото</v>
      </c>
      <c r="F2202" s="13"/>
      <c r="G2202" s="11" t="s">
        <v>2189</v>
      </c>
      <c r="H2202" s="11" t="s">
        <v>27</v>
      </c>
      <c r="I2202" s="14" t="s">
        <v>2190</v>
      </c>
      <c r="J2202" s="14" t="s">
        <v>47</v>
      </c>
      <c r="K2202" s="15" t="s">
        <v>64</v>
      </c>
      <c r="L2202" s="14" t="s">
        <v>2545</v>
      </c>
      <c r="M2202" s="14"/>
      <c r="N2202" s="14" t="s">
        <v>84</v>
      </c>
      <c r="O2202" s="14"/>
      <c r="P2202" s="15" t="s">
        <v>113</v>
      </c>
      <c r="Q2202" s="16">
        <v>5499</v>
      </c>
      <c r="R2202" s="17">
        <v>40</v>
      </c>
      <c r="S2202" s="18">
        <v>3794.31</v>
      </c>
      <c r="T2202" s="19" t="s">
        <v>36</v>
      </c>
      <c r="U2202" s="20" t="s">
        <v>41</v>
      </c>
      <c r="V2202" s="21" t="s">
        <v>40</v>
      </c>
      <c r="W2202" s="22">
        <v>2</v>
      </c>
      <c r="X2202" s="23"/>
    </row>
    <row r="2203" spans="1:24" s="1" customFormat="1" ht="108" customHeight="1" x14ac:dyDescent="0.3">
      <c r="A2203" s="11" t="s">
        <v>23</v>
      </c>
      <c r="B2203" s="11" t="s">
        <v>2546</v>
      </c>
      <c r="C2203" s="12" t="s">
        <v>2547</v>
      </c>
      <c r="D2203" s="25"/>
      <c r="E2203" s="39" t="str">
        <f>HYPERLINK("https://www.google.ru/search?q=1379475-110&amp;newwindow=1&amp;tbm=isch","Еще фото")</f>
        <v>Еще фото</v>
      </c>
      <c r="F2203" s="13"/>
      <c r="G2203" s="11" t="s">
        <v>2189</v>
      </c>
      <c r="H2203" s="11" t="s">
        <v>27</v>
      </c>
      <c r="I2203" s="14" t="s">
        <v>2190</v>
      </c>
      <c r="J2203" s="14" t="s">
        <v>47</v>
      </c>
      <c r="K2203" s="15" t="s">
        <v>64</v>
      </c>
      <c r="L2203" s="14" t="s">
        <v>2545</v>
      </c>
      <c r="M2203" s="14"/>
      <c r="N2203" s="14" t="s">
        <v>215</v>
      </c>
      <c r="O2203" s="14"/>
      <c r="P2203" s="15" t="s">
        <v>113</v>
      </c>
      <c r="Q2203" s="16">
        <v>5499</v>
      </c>
      <c r="R2203" s="17">
        <v>40</v>
      </c>
      <c r="S2203" s="18">
        <v>3794.31</v>
      </c>
      <c r="T2203" s="19" t="s">
        <v>36</v>
      </c>
      <c r="U2203" s="20" t="s">
        <v>41</v>
      </c>
      <c r="V2203" s="21" t="s">
        <v>40</v>
      </c>
      <c r="W2203" s="22">
        <v>1</v>
      </c>
      <c r="X2203" s="23"/>
    </row>
    <row r="2204" spans="1:24" s="1" customFormat="1" ht="21" customHeight="1" x14ac:dyDescent="0.3">
      <c r="A2204" s="11" t="s">
        <v>23</v>
      </c>
      <c r="B2204" s="11" t="s">
        <v>2548</v>
      </c>
      <c r="C2204" s="26" t="s">
        <v>2549</v>
      </c>
      <c r="D2204" s="53"/>
      <c r="E2204" s="39" t="str">
        <f>HYPERLINK("https://www.google.ru/search?q=1379495-001&amp;newwindow=1&amp;tbm=isch","Еще фото")</f>
        <v>Еще фото</v>
      </c>
      <c r="F2204" s="13" t="s">
        <v>98</v>
      </c>
      <c r="G2204" s="11" t="s">
        <v>2198</v>
      </c>
      <c r="H2204" s="11" t="s">
        <v>27</v>
      </c>
      <c r="I2204" s="14" t="s">
        <v>2190</v>
      </c>
      <c r="J2204" s="14" t="s">
        <v>29</v>
      </c>
      <c r="K2204" s="15" t="s">
        <v>64</v>
      </c>
      <c r="L2204" s="56" t="s">
        <v>2550</v>
      </c>
      <c r="M2204" s="14"/>
      <c r="N2204" s="14" t="s">
        <v>33</v>
      </c>
      <c r="O2204" s="14"/>
      <c r="P2204" s="15" t="s">
        <v>113</v>
      </c>
      <c r="Q2204" s="16">
        <v>7199</v>
      </c>
      <c r="R2204" s="17">
        <v>40</v>
      </c>
      <c r="S2204" s="18">
        <v>4967.3099999999995</v>
      </c>
      <c r="T2204" s="19" t="s">
        <v>36</v>
      </c>
      <c r="U2204" s="20" t="s">
        <v>69</v>
      </c>
      <c r="V2204" s="21" t="s">
        <v>70</v>
      </c>
      <c r="W2204" s="22">
        <v>2</v>
      </c>
      <c r="X2204" s="23"/>
    </row>
    <row r="2205" spans="1:24" s="1" customFormat="1" ht="21" customHeight="1" x14ac:dyDescent="0.3">
      <c r="A2205" s="24" t="s">
        <v>23</v>
      </c>
      <c r="B2205" s="24" t="s">
        <v>2548</v>
      </c>
      <c r="C2205" s="27" t="s">
        <v>2549</v>
      </c>
      <c r="D2205" s="54"/>
      <c r="E2205" s="39" t="str">
        <f>HYPERLINK("https://www.google.ru/search?q=1379495-001&amp;newwindow=1&amp;tbm=isch","Еще фото")</f>
        <v>Еще фото</v>
      </c>
      <c r="F2205" s="13" t="s">
        <v>98</v>
      </c>
      <c r="G2205" s="24" t="s">
        <v>2198</v>
      </c>
      <c r="H2205" s="24" t="s">
        <v>27</v>
      </c>
      <c r="I2205" s="24" t="s">
        <v>2190</v>
      </c>
      <c r="J2205" s="14" t="s">
        <v>29</v>
      </c>
      <c r="K2205" s="15" t="s">
        <v>64</v>
      </c>
      <c r="L2205" s="57"/>
      <c r="M2205" s="14"/>
      <c r="N2205" s="14" t="s">
        <v>33</v>
      </c>
      <c r="O2205" s="14"/>
      <c r="P2205" s="15" t="s">
        <v>113</v>
      </c>
      <c r="Q2205" s="16">
        <v>7199</v>
      </c>
      <c r="R2205" s="17">
        <v>40</v>
      </c>
      <c r="S2205" s="18">
        <v>4967.3099999999995</v>
      </c>
      <c r="T2205" s="19" t="s">
        <v>36</v>
      </c>
      <c r="U2205" s="20" t="s">
        <v>37</v>
      </c>
      <c r="V2205" s="21" t="s">
        <v>86</v>
      </c>
      <c r="W2205" s="22">
        <v>9</v>
      </c>
      <c r="X2205" s="23"/>
    </row>
    <row r="2206" spans="1:24" s="1" customFormat="1" ht="21" customHeight="1" x14ac:dyDescent="0.3">
      <c r="A2206" s="24" t="s">
        <v>23</v>
      </c>
      <c r="B2206" s="24" t="s">
        <v>2548</v>
      </c>
      <c r="C2206" s="27" t="s">
        <v>2549</v>
      </c>
      <c r="D2206" s="54"/>
      <c r="E2206" s="39" t="str">
        <f>HYPERLINK("https://www.google.ru/search?q=1379495-001&amp;newwindow=1&amp;tbm=isch","Еще фото")</f>
        <v>Еще фото</v>
      </c>
      <c r="F2206" s="13" t="s">
        <v>98</v>
      </c>
      <c r="G2206" s="24" t="s">
        <v>2198</v>
      </c>
      <c r="H2206" s="24" t="s">
        <v>27</v>
      </c>
      <c r="I2206" s="24" t="s">
        <v>2190</v>
      </c>
      <c r="J2206" s="14" t="s">
        <v>29</v>
      </c>
      <c r="K2206" s="15" t="s">
        <v>64</v>
      </c>
      <c r="L2206" s="57"/>
      <c r="M2206" s="14"/>
      <c r="N2206" s="14" t="s">
        <v>33</v>
      </c>
      <c r="O2206" s="14"/>
      <c r="P2206" s="15" t="s">
        <v>113</v>
      </c>
      <c r="Q2206" s="16">
        <v>7199</v>
      </c>
      <c r="R2206" s="17">
        <v>40</v>
      </c>
      <c r="S2206" s="18">
        <v>4967.3099999999995</v>
      </c>
      <c r="T2206" s="19" t="s">
        <v>36</v>
      </c>
      <c r="U2206" s="20" t="s">
        <v>39</v>
      </c>
      <c r="V2206" s="21" t="s">
        <v>38</v>
      </c>
      <c r="W2206" s="22">
        <v>4</v>
      </c>
      <c r="X2206" s="23"/>
    </row>
    <row r="2207" spans="1:24" s="1" customFormat="1" ht="21" customHeight="1" x14ac:dyDescent="0.3">
      <c r="A2207" s="24" t="s">
        <v>23</v>
      </c>
      <c r="B2207" s="24" t="s">
        <v>2548</v>
      </c>
      <c r="C2207" s="27" t="s">
        <v>2549</v>
      </c>
      <c r="D2207" s="54"/>
      <c r="E2207" s="39" t="str">
        <f>HYPERLINK("https://www.google.ru/search?q=1379495-001&amp;newwindow=1&amp;tbm=isch","Еще фото")</f>
        <v>Еще фото</v>
      </c>
      <c r="F2207" s="13" t="s">
        <v>98</v>
      </c>
      <c r="G2207" s="24" t="s">
        <v>2198</v>
      </c>
      <c r="H2207" s="24" t="s">
        <v>27</v>
      </c>
      <c r="I2207" s="24" t="s">
        <v>2190</v>
      </c>
      <c r="J2207" s="14" t="s">
        <v>29</v>
      </c>
      <c r="K2207" s="15" t="s">
        <v>64</v>
      </c>
      <c r="L2207" s="57"/>
      <c r="M2207" s="14"/>
      <c r="N2207" s="14" t="s">
        <v>33</v>
      </c>
      <c r="O2207" s="14"/>
      <c r="P2207" s="15" t="s">
        <v>113</v>
      </c>
      <c r="Q2207" s="16">
        <v>7199</v>
      </c>
      <c r="R2207" s="17">
        <v>40</v>
      </c>
      <c r="S2207" s="18">
        <v>4967.3099999999995</v>
      </c>
      <c r="T2207" s="19" t="s">
        <v>36</v>
      </c>
      <c r="U2207" s="20" t="s">
        <v>41</v>
      </c>
      <c r="V2207" s="21" t="s">
        <v>40</v>
      </c>
      <c r="W2207" s="22">
        <v>1</v>
      </c>
      <c r="X2207" s="23"/>
    </row>
    <row r="2208" spans="1:24" s="1" customFormat="1" ht="32.1" customHeight="1" x14ac:dyDescent="0.3">
      <c r="A2208" s="24" t="s">
        <v>23</v>
      </c>
      <c r="B2208" s="24" t="s">
        <v>2548</v>
      </c>
      <c r="C2208" s="27" t="s">
        <v>2549</v>
      </c>
      <c r="D2208" s="55"/>
      <c r="E2208" s="39" t="str">
        <f>HYPERLINK("https://www.google.ru/search?q=1379495-001&amp;newwindow=1&amp;tbm=isch","Еще фото")</f>
        <v>Еще фото</v>
      </c>
      <c r="F2208" s="13" t="s">
        <v>98</v>
      </c>
      <c r="G2208" s="24" t="s">
        <v>2198</v>
      </c>
      <c r="H2208" s="24" t="s">
        <v>27</v>
      </c>
      <c r="I2208" s="24" t="s">
        <v>2190</v>
      </c>
      <c r="J2208" s="14" t="s">
        <v>29</v>
      </c>
      <c r="K2208" s="15" t="s">
        <v>64</v>
      </c>
      <c r="L2208" s="58"/>
      <c r="M2208" s="14"/>
      <c r="N2208" s="14" t="s">
        <v>33</v>
      </c>
      <c r="O2208" s="14"/>
      <c r="P2208" s="15" t="s">
        <v>113</v>
      </c>
      <c r="Q2208" s="16">
        <v>7199</v>
      </c>
      <c r="R2208" s="17">
        <v>40</v>
      </c>
      <c r="S2208" s="18">
        <v>4967.3099999999995</v>
      </c>
      <c r="T2208" s="19" t="s">
        <v>36</v>
      </c>
      <c r="U2208" s="20" t="s">
        <v>43</v>
      </c>
      <c r="V2208" s="21" t="s">
        <v>42</v>
      </c>
      <c r="W2208" s="22">
        <v>1</v>
      </c>
      <c r="X2208" s="23"/>
    </row>
    <row r="2209" spans="1:24" s="1" customFormat="1" ht="51.95" customHeight="1" x14ac:dyDescent="0.3">
      <c r="A2209" s="11" t="s">
        <v>23</v>
      </c>
      <c r="B2209" s="11" t="s">
        <v>2551</v>
      </c>
      <c r="C2209" s="12" t="s">
        <v>2552</v>
      </c>
      <c r="D2209" s="59"/>
      <c r="E2209" s="39" t="str">
        <f>HYPERLINK("https://www.google.ru/search?q=1379500-001&amp;newwindow=1&amp;tbm=isch","Еще фото")</f>
        <v>Еще фото</v>
      </c>
      <c r="F2209" s="13"/>
      <c r="G2209" s="11" t="s">
        <v>2198</v>
      </c>
      <c r="H2209" s="11" t="s">
        <v>27</v>
      </c>
      <c r="I2209" s="14" t="s">
        <v>2190</v>
      </c>
      <c r="J2209" s="14" t="s">
        <v>29</v>
      </c>
      <c r="K2209" s="15" t="s">
        <v>64</v>
      </c>
      <c r="L2209" s="56" t="s">
        <v>2553</v>
      </c>
      <c r="M2209" s="14"/>
      <c r="N2209" s="14" t="s">
        <v>33</v>
      </c>
      <c r="O2209" s="14"/>
      <c r="P2209" s="15" t="s">
        <v>113</v>
      </c>
      <c r="Q2209" s="16">
        <v>5299</v>
      </c>
      <c r="R2209" s="17">
        <v>40</v>
      </c>
      <c r="S2209" s="18">
        <v>3656.31</v>
      </c>
      <c r="T2209" s="19" t="s">
        <v>36</v>
      </c>
      <c r="U2209" s="20" t="s">
        <v>69</v>
      </c>
      <c r="V2209" s="21" t="s">
        <v>70</v>
      </c>
      <c r="W2209" s="22">
        <v>7</v>
      </c>
      <c r="X2209" s="23"/>
    </row>
    <row r="2210" spans="1:24" s="1" customFormat="1" ht="60.95" customHeight="1" x14ac:dyDescent="0.3">
      <c r="A2210" s="24" t="s">
        <v>23</v>
      </c>
      <c r="B2210" s="24" t="s">
        <v>2551</v>
      </c>
      <c r="C2210" s="12" t="s">
        <v>2552</v>
      </c>
      <c r="D2210" s="60"/>
      <c r="E2210" s="39" t="str">
        <f>HYPERLINK("https://www.google.ru/search?q=1379500-001&amp;newwindow=1&amp;tbm=isch","Еще фото")</f>
        <v>Еще фото</v>
      </c>
      <c r="F2210" s="13"/>
      <c r="G2210" s="24" t="s">
        <v>2198</v>
      </c>
      <c r="H2210" s="24" t="s">
        <v>27</v>
      </c>
      <c r="I2210" s="24" t="s">
        <v>2190</v>
      </c>
      <c r="J2210" s="14" t="s">
        <v>29</v>
      </c>
      <c r="K2210" s="15" t="s">
        <v>64</v>
      </c>
      <c r="L2210" s="58"/>
      <c r="M2210" s="14"/>
      <c r="N2210" s="14" t="s">
        <v>33</v>
      </c>
      <c r="O2210" s="14"/>
      <c r="P2210" s="15" t="s">
        <v>113</v>
      </c>
      <c r="Q2210" s="16">
        <v>5299</v>
      </c>
      <c r="R2210" s="17">
        <v>40</v>
      </c>
      <c r="S2210" s="18">
        <v>3656.31</v>
      </c>
      <c r="T2210" s="19" t="s">
        <v>36</v>
      </c>
      <c r="U2210" s="20" t="s">
        <v>37</v>
      </c>
      <c r="V2210" s="21" t="s">
        <v>86</v>
      </c>
      <c r="W2210" s="22">
        <v>1</v>
      </c>
      <c r="X2210" s="23"/>
    </row>
    <row r="2211" spans="1:24" s="1" customFormat="1" ht="51.95" customHeight="1" x14ac:dyDescent="0.3">
      <c r="A2211" s="11" t="s">
        <v>23</v>
      </c>
      <c r="B2211" s="11" t="s">
        <v>2554</v>
      </c>
      <c r="C2211" s="12" t="s">
        <v>2555</v>
      </c>
      <c r="D2211" s="59"/>
      <c r="E2211" s="39" t="str">
        <f>HYPERLINK("https://www.google.ru/search?q=1379501-638&amp;newwindow=1&amp;tbm=isch","Еще фото")</f>
        <v>Еще фото</v>
      </c>
      <c r="F2211" s="13"/>
      <c r="G2211" s="11" t="s">
        <v>2198</v>
      </c>
      <c r="H2211" s="11" t="s">
        <v>27</v>
      </c>
      <c r="I2211" s="14" t="s">
        <v>2190</v>
      </c>
      <c r="J2211" s="14" t="s">
        <v>29</v>
      </c>
      <c r="K2211" s="15" t="s">
        <v>64</v>
      </c>
      <c r="L2211" s="56"/>
      <c r="M2211" s="14"/>
      <c r="N2211" s="14" t="s">
        <v>57</v>
      </c>
      <c r="O2211" s="14"/>
      <c r="P2211" s="15" t="s">
        <v>113</v>
      </c>
      <c r="Q2211" s="16">
        <v>7199</v>
      </c>
      <c r="R2211" s="17">
        <v>40</v>
      </c>
      <c r="S2211" s="18">
        <v>4967.3099999999995</v>
      </c>
      <c r="T2211" s="19" t="s">
        <v>36</v>
      </c>
      <c r="U2211" s="20" t="s">
        <v>69</v>
      </c>
      <c r="V2211" s="21" t="s">
        <v>70</v>
      </c>
      <c r="W2211" s="22">
        <v>4</v>
      </c>
      <c r="X2211" s="23"/>
    </row>
    <row r="2212" spans="1:24" s="1" customFormat="1" ht="60.95" customHeight="1" x14ac:dyDescent="0.3">
      <c r="A2212" s="24" t="s">
        <v>23</v>
      </c>
      <c r="B2212" s="24" t="s">
        <v>2554</v>
      </c>
      <c r="C2212" s="12" t="s">
        <v>2555</v>
      </c>
      <c r="D2212" s="60"/>
      <c r="E2212" s="39" t="str">
        <f>HYPERLINK("https://www.google.ru/search?q=1379501-638&amp;newwindow=1&amp;tbm=isch","Еще фото")</f>
        <v>Еще фото</v>
      </c>
      <c r="F2212" s="13"/>
      <c r="G2212" s="24" t="s">
        <v>2198</v>
      </c>
      <c r="H2212" s="24" t="s">
        <v>27</v>
      </c>
      <c r="I2212" s="24" t="s">
        <v>2190</v>
      </c>
      <c r="J2212" s="14" t="s">
        <v>29</v>
      </c>
      <c r="K2212" s="15" t="s">
        <v>64</v>
      </c>
      <c r="L2212" s="58"/>
      <c r="M2212" s="14"/>
      <c r="N2212" s="14" t="s">
        <v>57</v>
      </c>
      <c r="O2212" s="14"/>
      <c r="P2212" s="15" t="s">
        <v>113</v>
      </c>
      <c r="Q2212" s="16">
        <v>7199</v>
      </c>
      <c r="R2212" s="17">
        <v>40</v>
      </c>
      <c r="S2212" s="18">
        <v>4967.3099999999995</v>
      </c>
      <c r="T2212" s="19" t="s">
        <v>36</v>
      </c>
      <c r="U2212" s="20" t="s">
        <v>37</v>
      </c>
      <c r="V2212" s="21" t="s">
        <v>86</v>
      </c>
      <c r="W2212" s="22">
        <v>4</v>
      </c>
      <c r="X2212" s="23"/>
    </row>
    <row r="2213" spans="1:24" s="1" customFormat="1" ht="35.1" customHeight="1" x14ac:dyDescent="0.3">
      <c r="A2213" s="11" t="s">
        <v>23</v>
      </c>
      <c r="B2213" s="11" t="s">
        <v>2367</v>
      </c>
      <c r="C2213" s="12" t="s">
        <v>2556</v>
      </c>
      <c r="D2213" s="53"/>
      <c r="E2213" s="39" t="str">
        <f>HYPERLINK("https://www.google.ru/search?q=1379744-014&amp;newwindow=1&amp;tbm=isch","Еще фото")</f>
        <v>Еще фото</v>
      </c>
      <c r="F2213" s="13"/>
      <c r="G2213" s="11" t="s">
        <v>2198</v>
      </c>
      <c r="H2213" s="11" t="s">
        <v>27</v>
      </c>
      <c r="I2213" s="14" t="s">
        <v>2190</v>
      </c>
      <c r="J2213" s="14" t="s">
        <v>29</v>
      </c>
      <c r="K2213" s="15" t="s">
        <v>30</v>
      </c>
      <c r="L2213" s="56" t="s">
        <v>2557</v>
      </c>
      <c r="M2213" s="14" t="s">
        <v>90</v>
      </c>
      <c r="N2213" s="14" t="s">
        <v>84</v>
      </c>
      <c r="O2213" s="14"/>
      <c r="P2213" s="15" t="s">
        <v>51</v>
      </c>
      <c r="Q2213" s="16">
        <v>8599</v>
      </c>
      <c r="R2213" s="17">
        <v>40</v>
      </c>
      <c r="S2213" s="18">
        <v>5933.3099999999995</v>
      </c>
      <c r="T2213" s="19" t="s">
        <v>36</v>
      </c>
      <c r="U2213" s="20" t="s">
        <v>69</v>
      </c>
      <c r="V2213" s="21" t="s">
        <v>75</v>
      </c>
      <c r="W2213" s="22">
        <v>1</v>
      </c>
      <c r="X2213" s="23"/>
    </row>
    <row r="2214" spans="1:24" s="1" customFormat="1" ht="35.1" customHeight="1" x14ac:dyDescent="0.3">
      <c r="A2214" s="24" t="s">
        <v>23</v>
      </c>
      <c r="B2214" s="24" t="s">
        <v>2367</v>
      </c>
      <c r="C2214" s="12" t="s">
        <v>2556</v>
      </c>
      <c r="D2214" s="54"/>
      <c r="E2214" s="39" t="str">
        <f>HYPERLINK("https://www.google.ru/search?q=1379744-014&amp;newwindow=1&amp;tbm=isch","Еще фото")</f>
        <v>Еще фото</v>
      </c>
      <c r="F2214" s="13"/>
      <c r="G2214" s="24" t="s">
        <v>2198</v>
      </c>
      <c r="H2214" s="24" t="s">
        <v>27</v>
      </c>
      <c r="I2214" s="24" t="s">
        <v>2190</v>
      </c>
      <c r="J2214" s="14" t="s">
        <v>29</v>
      </c>
      <c r="K2214" s="15" t="s">
        <v>30</v>
      </c>
      <c r="L2214" s="57"/>
      <c r="M2214" s="14" t="s">
        <v>90</v>
      </c>
      <c r="N2214" s="14" t="s">
        <v>84</v>
      </c>
      <c r="O2214" s="14"/>
      <c r="P2214" s="15" t="s">
        <v>51</v>
      </c>
      <c r="Q2214" s="16">
        <v>8599</v>
      </c>
      <c r="R2214" s="17">
        <v>40</v>
      </c>
      <c r="S2214" s="18">
        <v>5933.3099999999995</v>
      </c>
      <c r="T2214" s="19" t="s">
        <v>36</v>
      </c>
      <c r="U2214" s="20" t="s">
        <v>37</v>
      </c>
      <c r="V2214" s="21" t="s">
        <v>38</v>
      </c>
      <c r="W2214" s="22">
        <v>1</v>
      </c>
      <c r="X2214" s="23"/>
    </row>
    <row r="2215" spans="1:24" s="1" customFormat="1" ht="36.950000000000003" customHeight="1" x14ac:dyDescent="0.3">
      <c r="A2215" s="24" t="s">
        <v>23</v>
      </c>
      <c r="B2215" s="24" t="s">
        <v>2367</v>
      </c>
      <c r="C2215" s="12" t="s">
        <v>2556</v>
      </c>
      <c r="D2215" s="55"/>
      <c r="E2215" s="39" t="str">
        <f>HYPERLINK("https://www.google.ru/search?q=1379744-014&amp;newwindow=1&amp;tbm=isch","Еще фото")</f>
        <v>Еще фото</v>
      </c>
      <c r="F2215" s="13"/>
      <c r="G2215" s="24" t="s">
        <v>2198</v>
      </c>
      <c r="H2215" s="24" t="s">
        <v>27</v>
      </c>
      <c r="I2215" s="24" t="s">
        <v>2190</v>
      </c>
      <c r="J2215" s="14" t="s">
        <v>29</v>
      </c>
      <c r="K2215" s="15" t="s">
        <v>30</v>
      </c>
      <c r="L2215" s="58"/>
      <c r="M2215" s="14" t="s">
        <v>90</v>
      </c>
      <c r="N2215" s="14" t="s">
        <v>84</v>
      </c>
      <c r="O2215" s="14"/>
      <c r="P2215" s="15" t="s">
        <v>51</v>
      </c>
      <c r="Q2215" s="16">
        <v>8599</v>
      </c>
      <c r="R2215" s="17">
        <v>40</v>
      </c>
      <c r="S2215" s="18">
        <v>5933.3099999999995</v>
      </c>
      <c r="T2215" s="19" t="s">
        <v>36</v>
      </c>
      <c r="U2215" s="20" t="s">
        <v>39</v>
      </c>
      <c r="V2215" s="21" t="s">
        <v>40</v>
      </c>
      <c r="W2215" s="22">
        <v>1</v>
      </c>
      <c r="X2215" s="23"/>
    </row>
    <row r="2216" spans="1:24" s="1" customFormat="1" ht="35.1" customHeight="1" x14ac:dyDescent="0.3">
      <c r="A2216" s="11" t="s">
        <v>23</v>
      </c>
      <c r="B2216" s="11" t="s">
        <v>2558</v>
      </c>
      <c r="C2216" s="12" t="s">
        <v>2559</v>
      </c>
      <c r="D2216" s="53"/>
      <c r="E2216" s="39" t="str">
        <f>HYPERLINK("https://www.google.ru/search?q=1379744-743&amp;newwindow=1&amp;tbm=isch","Еще фото")</f>
        <v>Еще фото</v>
      </c>
      <c r="F2216" s="13" t="s">
        <v>98</v>
      </c>
      <c r="G2216" s="11" t="s">
        <v>2198</v>
      </c>
      <c r="H2216" s="11" t="s">
        <v>27</v>
      </c>
      <c r="I2216" s="14" t="s">
        <v>2190</v>
      </c>
      <c r="J2216" s="14" t="s">
        <v>29</v>
      </c>
      <c r="K2216" s="15" t="s">
        <v>30</v>
      </c>
      <c r="L2216" s="56" t="s">
        <v>2557</v>
      </c>
      <c r="M2216" s="14" t="s">
        <v>90</v>
      </c>
      <c r="N2216" s="14" t="s">
        <v>1896</v>
      </c>
      <c r="O2216" s="14"/>
      <c r="P2216" s="15" t="s">
        <v>51</v>
      </c>
      <c r="Q2216" s="16">
        <v>8599</v>
      </c>
      <c r="R2216" s="17">
        <v>40</v>
      </c>
      <c r="S2216" s="18">
        <v>5933.3099999999995</v>
      </c>
      <c r="T2216" s="19" t="s">
        <v>36</v>
      </c>
      <c r="U2216" s="20" t="s">
        <v>37</v>
      </c>
      <c r="V2216" s="21" t="s">
        <v>38</v>
      </c>
      <c r="W2216" s="22">
        <v>2</v>
      </c>
      <c r="X2216" s="23"/>
    </row>
    <row r="2217" spans="1:24" s="1" customFormat="1" ht="35.1" customHeight="1" x14ac:dyDescent="0.3">
      <c r="A2217" s="24" t="s">
        <v>23</v>
      </c>
      <c r="B2217" s="24" t="s">
        <v>2558</v>
      </c>
      <c r="C2217" s="12" t="s">
        <v>2559</v>
      </c>
      <c r="D2217" s="54"/>
      <c r="E2217" s="39" t="str">
        <f>HYPERLINK("https://www.google.ru/search?q=1379744-743&amp;newwindow=1&amp;tbm=isch","Еще фото")</f>
        <v>Еще фото</v>
      </c>
      <c r="F2217" s="13" t="s">
        <v>98</v>
      </c>
      <c r="G2217" s="24" t="s">
        <v>2198</v>
      </c>
      <c r="H2217" s="24" t="s">
        <v>27</v>
      </c>
      <c r="I2217" s="24" t="s">
        <v>2190</v>
      </c>
      <c r="J2217" s="14" t="s">
        <v>29</v>
      </c>
      <c r="K2217" s="15" t="s">
        <v>30</v>
      </c>
      <c r="L2217" s="57"/>
      <c r="M2217" s="14" t="s">
        <v>90</v>
      </c>
      <c r="N2217" s="14" t="s">
        <v>1896</v>
      </c>
      <c r="O2217" s="14"/>
      <c r="P2217" s="15" t="s">
        <v>51</v>
      </c>
      <c r="Q2217" s="16">
        <v>8599</v>
      </c>
      <c r="R2217" s="17">
        <v>40</v>
      </c>
      <c r="S2217" s="18">
        <v>5933.3099999999995</v>
      </c>
      <c r="T2217" s="19" t="s">
        <v>36</v>
      </c>
      <c r="U2217" s="20" t="s">
        <v>39</v>
      </c>
      <c r="V2217" s="21" t="s">
        <v>40</v>
      </c>
      <c r="W2217" s="22">
        <v>1</v>
      </c>
      <c r="X2217" s="23"/>
    </row>
    <row r="2218" spans="1:24" s="1" customFormat="1" ht="36.950000000000003" customHeight="1" x14ac:dyDescent="0.3">
      <c r="A2218" s="24" t="s">
        <v>23</v>
      </c>
      <c r="B2218" s="24" t="s">
        <v>2558</v>
      </c>
      <c r="C2218" s="12" t="s">
        <v>2559</v>
      </c>
      <c r="D2218" s="55"/>
      <c r="E2218" s="39" t="str">
        <f>HYPERLINK("https://www.google.ru/search?q=1379744-743&amp;newwindow=1&amp;tbm=isch","Еще фото")</f>
        <v>Еще фото</v>
      </c>
      <c r="F2218" s="13" t="s">
        <v>98</v>
      </c>
      <c r="G2218" s="24" t="s">
        <v>2198</v>
      </c>
      <c r="H2218" s="24" t="s">
        <v>27</v>
      </c>
      <c r="I2218" s="24" t="s">
        <v>2190</v>
      </c>
      <c r="J2218" s="14" t="s">
        <v>29</v>
      </c>
      <c r="K2218" s="15" t="s">
        <v>30</v>
      </c>
      <c r="L2218" s="58"/>
      <c r="M2218" s="14" t="s">
        <v>90</v>
      </c>
      <c r="N2218" s="14" t="s">
        <v>1896</v>
      </c>
      <c r="O2218" s="14"/>
      <c r="P2218" s="15" t="s">
        <v>51</v>
      </c>
      <c r="Q2218" s="16">
        <v>8599</v>
      </c>
      <c r="R2218" s="17">
        <v>40</v>
      </c>
      <c r="S2218" s="18">
        <v>5933.3099999999995</v>
      </c>
      <c r="T2218" s="19" t="s">
        <v>36</v>
      </c>
      <c r="U2218" s="20" t="s">
        <v>41</v>
      </c>
      <c r="V2218" s="21" t="s">
        <v>42</v>
      </c>
      <c r="W2218" s="22">
        <v>5</v>
      </c>
      <c r="X2218" s="23"/>
    </row>
    <row r="2219" spans="1:24" s="1" customFormat="1" ht="26.1" customHeight="1" x14ac:dyDescent="0.3">
      <c r="A2219" s="11" t="s">
        <v>23</v>
      </c>
      <c r="B2219" s="11" t="s">
        <v>2367</v>
      </c>
      <c r="C2219" s="12" t="s">
        <v>2560</v>
      </c>
      <c r="D2219" s="53"/>
      <c r="E2219" s="39" t="str">
        <f>HYPERLINK("https://www.google.ru/search?q=1379745-390&amp;newwindow=1&amp;tbm=isch","Еще фото")</f>
        <v>Еще фото</v>
      </c>
      <c r="F2219" s="13"/>
      <c r="G2219" s="11" t="s">
        <v>2198</v>
      </c>
      <c r="H2219" s="11" t="s">
        <v>27</v>
      </c>
      <c r="I2219" s="14" t="s">
        <v>2190</v>
      </c>
      <c r="J2219" s="14" t="s">
        <v>29</v>
      </c>
      <c r="K2219" s="15" t="s">
        <v>30</v>
      </c>
      <c r="L2219" s="56" t="s">
        <v>2369</v>
      </c>
      <c r="M2219" s="14" t="s">
        <v>90</v>
      </c>
      <c r="N2219" s="14" t="s">
        <v>2412</v>
      </c>
      <c r="O2219" s="14"/>
      <c r="P2219" s="15" t="s">
        <v>51</v>
      </c>
      <c r="Q2219" s="16">
        <v>8299</v>
      </c>
      <c r="R2219" s="17">
        <v>40</v>
      </c>
      <c r="S2219" s="18">
        <v>5726.3099999999995</v>
      </c>
      <c r="T2219" s="19" t="s">
        <v>36</v>
      </c>
      <c r="U2219" s="20" t="s">
        <v>69</v>
      </c>
      <c r="V2219" s="21" t="s">
        <v>75</v>
      </c>
      <c r="W2219" s="22">
        <v>1</v>
      </c>
      <c r="X2219" s="23"/>
    </row>
    <row r="2220" spans="1:24" s="1" customFormat="1" ht="26.1" customHeight="1" x14ac:dyDescent="0.3">
      <c r="A2220" s="24" t="s">
        <v>23</v>
      </c>
      <c r="B2220" s="24" t="s">
        <v>2367</v>
      </c>
      <c r="C2220" s="12" t="s">
        <v>2560</v>
      </c>
      <c r="D2220" s="54"/>
      <c r="E2220" s="39" t="str">
        <f>HYPERLINK("https://www.google.ru/search?q=1379745-390&amp;newwindow=1&amp;tbm=isch","Еще фото")</f>
        <v>Еще фото</v>
      </c>
      <c r="F2220" s="13"/>
      <c r="G2220" s="24" t="s">
        <v>2198</v>
      </c>
      <c r="H2220" s="24" t="s">
        <v>27</v>
      </c>
      <c r="I2220" s="24" t="s">
        <v>2190</v>
      </c>
      <c r="J2220" s="14" t="s">
        <v>29</v>
      </c>
      <c r="K2220" s="15" t="s">
        <v>30</v>
      </c>
      <c r="L2220" s="57"/>
      <c r="M2220" s="14" t="s">
        <v>90</v>
      </c>
      <c r="N2220" s="14" t="s">
        <v>2412</v>
      </c>
      <c r="O2220" s="14"/>
      <c r="P2220" s="15" t="s">
        <v>51</v>
      </c>
      <c r="Q2220" s="16">
        <v>8299</v>
      </c>
      <c r="R2220" s="17">
        <v>40</v>
      </c>
      <c r="S2220" s="18">
        <v>5726.3099999999995</v>
      </c>
      <c r="T2220" s="19" t="s">
        <v>36</v>
      </c>
      <c r="U2220" s="20" t="s">
        <v>37</v>
      </c>
      <c r="V2220" s="21" t="s">
        <v>38</v>
      </c>
      <c r="W2220" s="22">
        <v>3</v>
      </c>
      <c r="X2220" s="23"/>
    </row>
    <row r="2221" spans="1:24" s="1" customFormat="1" ht="26.1" customHeight="1" x14ac:dyDescent="0.3">
      <c r="A2221" s="24" t="s">
        <v>23</v>
      </c>
      <c r="B2221" s="24" t="s">
        <v>2367</v>
      </c>
      <c r="C2221" s="12" t="s">
        <v>2560</v>
      </c>
      <c r="D2221" s="54"/>
      <c r="E2221" s="39" t="str">
        <f>HYPERLINK("https://www.google.ru/search?q=1379745-390&amp;newwindow=1&amp;tbm=isch","Еще фото")</f>
        <v>Еще фото</v>
      </c>
      <c r="F2221" s="13"/>
      <c r="G2221" s="24" t="s">
        <v>2198</v>
      </c>
      <c r="H2221" s="24" t="s">
        <v>27</v>
      </c>
      <c r="I2221" s="24" t="s">
        <v>2190</v>
      </c>
      <c r="J2221" s="14" t="s">
        <v>29</v>
      </c>
      <c r="K2221" s="15" t="s">
        <v>30</v>
      </c>
      <c r="L2221" s="57"/>
      <c r="M2221" s="14" t="s">
        <v>90</v>
      </c>
      <c r="N2221" s="14" t="s">
        <v>2412</v>
      </c>
      <c r="O2221" s="14"/>
      <c r="P2221" s="15" t="s">
        <v>51</v>
      </c>
      <c r="Q2221" s="16">
        <v>8299</v>
      </c>
      <c r="R2221" s="17">
        <v>40</v>
      </c>
      <c r="S2221" s="18">
        <v>5726.3099999999995</v>
      </c>
      <c r="T2221" s="19" t="s">
        <v>36</v>
      </c>
      <c r="U2221" s="20" t="s">
        <v>41</v>
      </c>
      <c r="V2221" s="21" t="s">
        <v>42</v>
      </c>
      <c r="W2221" s="22">
        <v>1</v>
      </c>
      <c r="X2221" s="23"/>
    </row>
    <row r="2222" spans="1:24" s="1" customFormat="1" ht="26.1" customHeight="1" x14ac:dyDescent="0.3">
      <c r="A2222" s="24" t="s">
        <v>23</v>
      </c>
      <c r="B2222" s="24" t="s">
        <v>2367</v>
      </c>
      <c r="C2222" s="12" t="s">
        <v>2560</v>
      </c>
      <c r="D2222" s="55"/>
      <c r="E2222" s="39" t="str">
        <f>HYPERLINK("https://www.google.ru/search?q=1379745-390&amp;newwindow=1&amp;tbm=isch","Еще фото")</f>
        <v>Еще фото</v>
      </c>
      <c r="F2222" s="13"/>
      <c r="G2222" s="24" t="s">
        <v>2198</v>
      </c>
      <c r="H2222" s="24" t="s">
        <v>27</v>
      </c>
      <c r="I2222" s="24" t="s">
        <v>2190</v>
      </c>
      <c r="J2222" s="14" t="s">
        <v>29</v>
      </c>
      <c r="K2222" s="15" t="s">
        <v>30</v>
      </c>
      <c r="L2222" s="58"/>
      <c r="M2222" s="14" t="s">
        <v>90</v>
      </c>
      <c r="N2222" s="14" t="s">
        <v>2412</v>
      </c>
      <c r="O2222" s="14"/>
      <c r="P2222" s="15" t="s">
        <v>51</v>
      </c>
      <c r="Q2222" s="16">
        <v>8299</v>
      </c>
      <c r="R2222" s="17">
        <v>40</v>
      </c>
      <c r="S2222" s="18">
        <v>5726.3099999999995</v>
      </c>
      <c r="T2222" s="19" t="s">
        <v>36</v>
      </c>
      <c r="U2222" s="20" t="s">
        <v>43</v>
      </c>
      <c r="V2222" s="21" t="s">
        <v>44</v>
      </c>
      <c r="W2222" s="22">
        <v>4</v>
      </c>
      <c r="X2222" s="23"/>
    </row>
    <row r="2223" spans="1:24" s="1" customFormat="1" ht="108" customHeight="1" x14ac:dyDescent="0.3">
      <c r="A2223" s="11" t="s">
        <v>23</v>
      </c>
      <c r="B2223" s="11" t="s">
        <v>2324</v>
      </c>
      <c r="C2223" s="12" t="s">
        <v>2561</v>
      </c>
      <c r="D2223" s="25"/>
      <c r="E2223" s="39" t="str">
        <f>HYPERLINK("https://www.google.ru/search?q=1379755-001&amp;newwindow=1&amp;tbm=isch","Еще фото")</f>
        <v>Еще фото</v>
      </c>
      <c r="F2223" s="13" t="s">
        <v>98</v>
      </c>
      <c r="G2223" s="11" t="s">
        <v>2189</v>
      </c>
      <c r="H2223" s="11" t="s">
        <v>27</v>
      </c>
      <c r="I2223" s="14" t="s">
        <v>2190</v>
      </c>
      <c r="J2223" s="14" t="s">
        <v>29</v>
      </c>
      <c r="K2223" s="15" t="s">
        <v>30</v>
      </c>
      <c r="L2223" s="14" t="s">
        <v>2562</v>
      </c>
      <c r="M2223" s="14" t="s">
        <v>56</v>
      </c>
      <c r="N2223" s="14" t="s">
        <v>33</v>
      </c>
      <c r="O2223" s="14"/>
      <c r="P2223" s="15" t="s">
        <v>113</v>
      </c>
      <c r="Q2223" s="16">
        <v>4399</v>
      </c>
      <c r="R2223" s="17">
        <v>40</v>
      </c>
      <c r="S2223" s="18">
        <v>3035.31</v>
      </c>
      <c r="T2223" s="19" t="s">
        <v>36</v>
      </c>
      <c r="U2223" s="20" t="s">
        <v>39</v>
      </c>
      <c r="V2223" s="21" t="s">
        <v>40</v>
      </c>
      <c r="W2223" s="22">
        <v>1</v>
      </c>
      <c r="X2223" s="23"/>
    </row>
    <row r="2224" spans="1:24" s="1" customFormat="1" ht="21" customHeight="1" x14ac:dyDescent="0.3">
      <c r="A2224" s="11" t="s">
        <v>23</v>
      </c>
      <c r="B2224" s="11" t="s">
        <v>2324</v>
      </c>
      <c r="C2224" s="26" t="s">
        <v>2563</v>
      </c>
      <c r="D2224" s="53"/>
      <c r="E2224" s="39" t="str">
        <f>HYPERLINK("https://www.google.ru/search?q=1379755-025&amp;newwindow=1&amp;tbm=isch","Еще фото")</f>
        <v>Еще фото</v>
      </c>
      <c r="F2224" s="13" t="s">
        <v>98</v>
      </c>
      <c r="G2224" s="11" t="s">
        <v>2189</v>
      </c>
      <c r="H2224" s="11" t="s">
        <v>27</v>
      </c>
      <c r="I2224" s="14" t="s">
        <v>2190</v>
      </c>
      <c r="J2224" s="14" t="s">
        <v>29</v>
      </c>
      <c r="K2224" s="15" t="s">
        <v>30</v>
      </c>
      <c r="L2224" s="56" t="s">
        <v>2562</v>
      </c>
      <c r="M2224" s="14" t="s">
        <v>56</v>
      </c>
      <c r="N2224" s="14" t="s">
        <v>84</v>
      </c>
      <c r="O2224" s="14"/>
      <c r="P2224" s="15" t="s">
        <v>113</v>
      </c>
      <c r="Q2224" s="16">
        <v>4399</v>
      </c>
      <c r="R2224" s="17">
        <v>40</v>
      </c>
      <c r="S2224" s="18">
        <v>3035.31</v>
      </c>
      <c r="T2224" s="19" t="s">
        <v>36</v>
      </c>
      <c r="U2224" s="20" t="s">
        <v>37</v>
      </c>
      <c r="V2224" s="21" t="s">
        <v>38</v>
      </c>
      <c r="W2224" s="22">
        <v>2</v>
      </c>
      <c r="X2224" s="23"/>
    </row>
    <row r="2225" spans="1:24" s="1" customFormat="1" ht="21" customHeight="1" x14ac:dyDescent="0.3">
      <c r="A2225" s="24" t="s">
        <v>23</v>
      </c>
      <c r="B2225" s="24" t="s">
        <v>2324</v>
      </c>
      <c r="C2225" s="27" t="s">
        <v>2563</v>
      </c>
      <c r="D2225" s="54"/>
      <c r="E2225" s="39" t="str">
        <f>HYPERLINK("https://www.google.ru/search?q=1379755-025&amp;newwindow=1&amp;tbm=isch","Еще фото")</f>
        <v>Еще фото</v>
      </c>
      <c r="F2225" s="13" t="s">
        <v>98</v>
      </c>
      <c r="G2225" s="24" t="s">
        <v>2189</v>
      </c>
      <c r="H2225" s="24" t="s">
        <v>27</v>
      </c>
      <c r="I2225" s="24" t="s">
        <v>2190</v>
      </c>
      <c r="J2225" s="14" t="s">
        <v>29</v>
      </c>
      <c r="K2225" s="15" t="s">
        <v>30</v>
      </c>
      <c r="L2225" s="57"/>
      <c r="M2225" s="14" t="s">
        <v>56</v>
      </c>
      <c r="N2225" s="14" t="s">
        <v>84</v>
      </c>
      <c r="O2225" s="14"/>
      <c r="P2225" s="15" t="s">
        <v>113</v>
      </c>
      <c r="Q2225" s="16">
        <v>4399</v>
      </c>
      <c r="R2225" s="17">
        <v>40</v>
      </c>
      <c r="S2225" s="18">
        <v>3035.31</v>
      </c>
      <c r="T2225" s="19" t="s">
        <v>36</v>
      </c>
      <c r="U2225" s="20" t="s">
        <v>39</v>
      </c>
      <c r="V2225" s="21" t="s">
        <v>40</v>
      </c>
      <c r="W2225" s="22">
        <v>17</v>
      </c>
      <c r="X2225" s="23"/>
    </row>
    <row r="2226" spans="1:24" s="1" customFormat="1" ht="21" customHeight="1" x14ac:dyDescent="0.3">
      <c r="A2226" s="24" t="s">
        <v>23</v>
      </c>
      <c r="B2226" s="24" t="s">
        <v>2324</v>
      </c>
      <c r="C2226" s="27" t="s">
        <v>2563</v>
      </c>
      <c r="D2226" s="54"/>
      <c r="E2226" s="39" t="str">
        <f>HYPERLINK("https://www.google.ru/search?q=1379755-025&amp;newwindow=1&amp;tbm=isch","Еще фото")</f>
        <v>Еще фото</v>
      </c>
      <c r="F2226" s="13" t="s">
        <v>98</v>
      </c>
      <c r="G2226" s="24" t="s">
        <v>2189</v>
      </c>
      <c r="H2226" s="24" t="s">
        <v>27</v>
      </c>
      <c r="I2226" s="24" t="s">
        <v>2190</v>
      </c>
      <c r="J2226" s="14" t="s">
        <v>29</v>
      </c>
      <c r="K2226" s="15" t="s">
        <v>30</v>
      </c>
      <c r="L2226" s="57"/>
      <c r="M2226" s="14" t="s">
        <v>56</v>
      </c>
      <c r="N2226" s="14" t="s">
        <v>84</v>
      </c>
      <c r="O2226" s="14"/>
      <c r="P2226" s="15" t="s">
        <v>113</v>
      </c>
      <c r="Q2226" s="16">
        <v>4399</v>
      </c>
      <c r="R2226" s="17">
        <v>40</v>
      </c>
      <c r="S2226" s="18">
        <v>3035.31</v>
      </c>
      <c r="T2226" s="19" t="s">
        <v>36</v>
      </c>
      <c r="U2226" s="20" t="s">
        <v>41</v>
      </c>
      <c r="V2226" s="21" t="s">
        <v>42</v>
      </c>
      <c r="W2226" s="22">
        <v>8</v>
      </c>
      <c r="X2226" s="23"/>
    </row>
    <row r="2227" spans="1:24" s="1" customFormat="1" ht="21" customHeight="1" x14ac:dyDescent="0.3">
      <c r="A2227" s="24" t="s">
        <v>23</v>
      </c>
      <c r="B2227" s="24" t="s">
        <v>2324</v>
      </c>
      <c r="C2227" s="27" t="s">
        <v>2563</v>
      </c>
      <c r="D2227" s="54"/>
      <c r="E2227" s="39" t="str">
        <f>HYPERLINK("https://www.google.ru/search?q=1379755-025&amp;newwindow=1&amp;tbm=isch","Еще фото")</f>
        <v>Еще фото</v>
      </c>
      <c r="F2227" s="13" t="s">
        <v>98</v>
      </c>
      <c r="G2227" s="24" t="s">
        <v>2189</v>
      </c>
      <c r="H2227" s="24" t="s">
        <v>27</v>
      </c>
      <c r="I2227" s="24" t="s">
        <v>2190</v>
      </c>
      <c r="J2227" s="14" t="s">
        <v>29</v>
      </c>
      <c r="K2227" s="15" t="s">
        <v>30</v>
      </c>
      <c r="L2227" s="57"/>
      <c r="M2227" s="14" t="s">
        <v>56</v>
      </c>
      <c r="N2227" s="14" t="s">
        <v>84</v>
      </c>
      <c r="O2227" s="14"/>
      <c r="P2227" s="15" t="s">
        <v>113</v>
      </c>
      <c r="Q2227" s="16">
        <v>4399</v>
      </c>
      <c r="R2227" s="17">
        <v>40</v>
      </c>
      <c r="S2227" s="18">
        <v>3035.31</v>
      </c>
      <c r="T2227" s="19" t="s">
        <v>36</v>
      </c>
      <c r="U2227" s="20" t="s">
        <v>43</v>
      </c>
      <c r="V2227" s="21" t="s">
        <v>44</v>
      </c>
      <c r="W2227" s="22">
        <v>9</v>
      </c>
      <c r="X2227" s="23"/>
    </row>
    <row r="2228" spans="1:24" s="1" customFormat="1" ht="32.1" customHeight="1" x14ac:dyDescent="0.3">
      <c r="A2228" s="24" t="s">
        <v>23</v>
      </c>
      <c r="B2228" s="24" t="s">
        <v>2324</v>
      </c>
      <c r="C2228" s="27" t="s">
        <v>2563</v>
      </c>
      <c r="D2228" s="55"/>
      <c r="E2228" s="39" t="str">
        <f>HYPERLINK("https://www.google.ru/search?q=1379755-025&amp;newwindow=1&amp;tbm=isch","Еще фото")</f>
        <v>Еще фото</v>
      </c>
      <c r="F2228" s="13" t="s">
        <v>98</v>
      </c>
      <c r="G2228" s="24" t="s">
        <v>2189</v>
      </c>
      <c r="H2228" s="24" t="s">
        <v>27</v>
      </c>
      <c r="I2228" s="24" t="s">
        <v>2190</v>
      </c>
      <c r="J2228" s="14" t="s">
        <v>29</v>
      </c>
      <c r="K2228" s="15" t="s">
        <v>30</v>
      </c>
      <c r="L2228" s="58"/>
      <c r="M2228" s="14" t="s">
        <v>56</v>
      </c>
      <c r="N2228" s="14" t="s">
        <v>84</v>
      </c>
      <c r="O2228" s="14"/>
      <c r="P2228" s="15" t="s">
        <v>113</v>
      </c>
      <c r="Q2228" s="16">
        <v>4399</v>
      </c>
      <c r="R2228" s="17">
        <v>40</v>
      </c>
      <c r="S2228" s="18">
        <v>3035.31</v>
      </c>
      <c r="T2228" s="19" t="s">
        <v>36</v>
      </c>
      <c r="U2228" s="20" t="s">
        <v>104</v>
      </c>
      <c r="V2228" s="21" t="s">
        <v>105</v>
      </c>
      <c r="W2228" s="22">
        <v>4</v>
      </c>
      <c r="X2228" s="23"/>
    </row>
    <row r="2229" spans="1:24" s="1" customFormat="1" ht="21" customHeight="1" x14ac:dyDescent="0.3">
      <c r="A2229" s="11" t="s">
        <v>23</v>
      </c>
      <c r="B2229" s="11" t="s">
        <v>2324</v>
      </c>
      <c r="C2229" s="26" t="s">
        <v>2564</v>
      </c>
      <c r="D2229" s="53"/>
      <c r="E2229" s="39" t="str">
        <f>HYPERLINK("https://www.google.ru/search?q=1379755-390&amp;newwindow=1&amp;tbm=isch","Еще фото")</f>
        <v>Еще фото</v>
      </c>
      <c r="F2229" s="13" t="s">
        <v>98</v>
      </c>
      <c r="G2229" s="11" t="s">
        <v>2189</v>
      </c>
      <c r="H2229" s="11" t="s">
        <v>27</v>
      </c>
      <c r="I2229" s="14" t="s">
        <v>2190</v>
      </c>
      <c r="J2229" s="14" t="s">
        <v>29</v>
      </c>
      <c r="K2229" s="15" t="s">
        <v>30</v>
      </c>
      <c r="L2229" s="56" t="s">
        <v>2565</v>
      </c>
      <c r="M2229" s="14" t="s">
        <v>56</v>
      </c>
      <c r="N2229" s="14" t="s">
        <v>125</v>
      </c>
      <c r="O2229" s="14"/>
      <c r="P2229" s="15" t="s">
        <v>2315</v>
      </c>
      <c r="Q2229" s="16">
        <v>7099</v>
      </c>
      <c r="R2229" s="17">
        <v>40</v>
      </c>
      <c r="S2229" s="18">
        <v>4898.3099999999995</v>
      </c>
      <c r="T2229" s="19" t="s">
        <v>36</v>
      </c>
      <c r="U2229" s="20" t="s">
        <v>37</v>
      </c>
      <c r="V2229" s="21" t="s">
        <v>38</v>
      </c>
      <c r="W2229" s="22">
        <v>7</v>
      </c>
      <c r="X2229" s="23"/>
    </row>
    <row r="2230" spans="1:24" s="1" customFormat="1" ht="21" customHeight="1" x14ac:dyDescent="0.3">
      <c r="A2230" s="24" t="s">
        <v>23</v>
      </c>
      <c r="B2230" s="24" t="s">
        <v>2324</v>
      </c>
      <c r="C2230" s="27" t="s">
        <v>2564</v>
      </c>
      <c r="D2230" s="54"/>
      <c r="E2230" s="39" t="str">
        <f>HYPERLINK("https://www.google.ru/search?q=1379755-390&amp;newwindow=1&amp;tbm=isch","Еще фото")</f>
        <v>Еще фото</v>
      </c>
      <c r="F2230" s="13" t="s">
        <v>98</v>
      </c>
      <c r="G2230" s="24" t="s">
        <v>2189</v>
      </c>
      <c r="H2230" s="24" t="s">
        <v>27</v>
      </c>
      <c r="I2230" s="24" t="s">
        <v>2190</v>
      </c>
      <c r="J2230" s="14" t="s">
        <v>29</v>
      </c>
      <c r="K2230" s="15" t="s">
        <v>30</v>
      </c>
      <c r="L2230" s="57"/>
      <c r="M2230" s="14" t="s">
        <v>56</v>
      </c>
      <c r="N2230" s="14" t="s">
        <v>125</v>
      </c>
      <c r="O2230" s="14"/>
      <c r="P2230" s="15" t="s">
        <v>2315</v>
      </c>
      <c r="Q2230" s="16">
        <v>7099</v>
      </c>
      <c r="R2230" s="17">
        <v>40</v>
      </c>
      <c r="S2230" s="18">
        <v>4898.3099999999995</v>
      </c>
      <c r="T2230" s="19" t="s">
        <v>36</v>
      </c>
      <c r="U2230" s="20" t="s">
        <v>39</v>
      </c>
      <c r="V2230" s="21" t="s">
        <v>40</v>
      </c>
      <c r="W2230" s="22">
        <v>32</v>
      </c>
      <c r="X2230" s="23"/>
    </row>
    <row r="2231" spans="1:24" s="1" customFormat="1" ht="21" customHeight="1" x14ac:dyDescent="0.3">
      <c r="A2231" s="24" t="s">
        <v>23</v>
      </c>
      <c r="B2231" s="24" t="s">
        <v>2324</v>
      </c>
      <c r="C2231" s="27" t="s">
        <v>2564</v>
      </c>
      <c r="D2231" s="54"/>
      <c r="E2231" s="39" t="str">
        <f>HYPERLINK("https://www.google.ru/search?q=1379755-390&amp;newwindow=1&amp;tbm=isch","Еще фото")</f>
        <v>Еще фото</v>
      </c>
      <c r="F2231" s="13" t="s">
        <v>98</v>
      </c>
      <c r="G2231" s="24" t="s">
        <v>2189</v>
      </c>
      <c r="H2231" s="24" t="s">
        <v>27</v>
      </c>
      <c r="I2231" s="24" t="s">
        <v>2190</v>
      </c>
      <c r="J2231" s="14" t="s">
        <v>29</v>
      </c>
      <c r="K2231" s="15" t="s">
        <v>30</v>
      </c>
      <c r="L2231" s="57"/>
      <c r="M2231" s="14" t="s">
        <v>56</v>
      </c>
      <c r="N2231" s="14" t="s">
        <v>125</v>
      </c>
      <c r="O2231" s="14"/>
      <c r="P2231" s="15" t="s">
        <v>2315</v>
      </c>
      <c r="Q2231" s="16">
        <v>7099</v>
      </c>
      <c r="R2231" s="17">
        <v>40</v>
      </c>
      <c r="S2231" s="18">
        <v>4898.3099999999995</v>
      </c>
      <c r="T2231" s="19" t="s">
        <v>36</v>
      </c>
      <c r="U2231" s="20" t="s">
        <v>41</v>
      </c>
      <c r="V2231" s="21" t="s">
        <v>42</v>
      </c>
      <c r="W2231" s="22">
        <v>25</v>
      </c>
      <c r="X2231" s="23"/>
    </row>
    <row r="2232" spans="1:24" s="1" customFormat="1" ht="21" customHeight="1" x14ac:dyDescent="0.3">
      <c r="A2232" s="24" t="s">
        <v>23</v>
      </c>
      <c r="B2232" s="24" t="s">
        <v>2324</v>
      </c>
      <c r="C2232" s="27" t="s">
        <v>2564</v>
      </c>
      <c r="D2232" s="54"/>
      <c r="E2232" s="39" t="str">
        <f>HYPERLINK("https://www.google.ru/search?q=1379755-390&amp;newwindow=1&amp;tbm=isch","Еще фото")</f>
        <v>Еще фото</v>
      </c>
      <c r="F2232" s="13" t="s">
        <v>98</v>
      </c>
      <c r="G2232" s="24" t="s">
        <v>2189</v>
      </c>
      <c r="H2232" s="24" t="s">
        <v>27</v>
      </c>
      <c r="I2232" s="24" t="s">
        <v>2190</v>
      </c>
      <c r="J2232" s="14" t="s">
        <v>29</v>
      </c>
      <c r="K2232" s="15" t="s">
        <v>30</v>
      </c>
      <c r="L2232" s="57"/>
      <c r="M2232" s="14" t="s">
        <v>56</v>
      </c>
      <c r="N2232" s="14" t="s">
        <v>125</v>
      </c>
      <c r="O2232" s="14"/>
      <c r="P2232" s="15" t="s">
        <v>2315</v>
      </c>
      <c r="Q2232" s="16">
        <v>7099</v>
      </c>
      <c r="R2232" s="17">
        <v>40</v>
      </c>
      <c r="S2232" s="18">
        <v>4898.3099999999995</v>
      </c>
      <c r="T2232" s="19" t="s">
        <v>36</v>
      </c>
      <c r="U2232" s="20" t="s">
        <v>43</v>
      </c>
      <c r="V2232" s="21" t="s">
        <v>44</v>
      </c>
      <c r="W2232" s="22">
        <v>21</v>
      </c>
      <c r="X2232" s="23"/>
    </row>
    <row r="2233" spans="1:24" s="1" customFormat="1" ht="32.1" customHeight="1" x14ac:dyDescent="0.3">
      <c r="A2233" s="24" t="s">
        <v>23</v>
      </c>
      <c r="B2233" s="24" t="s">
        <v>2324</v>
      </c>
      <c r="C2233" s="27" t="s">
        <v>2564</v>
      </c>
      <c r="D2233" s="55"/>
      <c r="E2233" s="39" t="str">
        <f>HYPERLINK("https://www.google.ru/search?q=1379755-390&amp;newwindow=1&amp;tbm=isch","Еще фото")</f>
        <v>Еще фото</v>
      </c>
      <c r="F2233" s="13" t="s">
        <v>98</v>
      </c>
      <c r="G2233" s="24" t="s">
        <v>2189</v>
      </c>
      <c r="H2233" s="24" t="s">
        <v>27</v>
      </c>
      <c r="I2233" s="24" t="s">
        <v>2190</v>
      </c>
      <c r="J2233" s="14" t="s">
        <v>29</v>
      </c>
      <c r="K2233" s="15" t="s">
        <v>30</v>
      </c>
      <c r="L2233" s="58"/>
      <c r="M2233" s="14" t="s">
        <v>56</v>
      </c>
      <c r="N2233" s="14" t="s">
        <v>125</v>
      </c>
      <c r="O2233" s="14"/>
      <c r="P2233" s="15" t="s">
        <v>2315</v>
      </c>
      <c r="Q2233" s="16">
        <v>7099</v>
      </c>
      <c r="R2233" s="17">
        <v>40</v>
      </c>
      <c r="S2233" s="18">
        <v>4898.3099999999995</v>
      </c>
      <c r="T2233" s="19" t="s">
        <v>36</v>
      </c>
      <c r="U2233" s="20" t="s">
        <v>104</v>
      </c>
      <c r="V2233" s="21" t="s">
        <v>105</v>
      </c>
      <c r="W2233" s="22">
        <v>6</v>
      </c>
      <c r="X2233" s="23"/>
    </row>
    <row r="2234" spans="1:24" s="1" customFormat="1" ht="108" customHeight="1" x14ac:dyDescent="0.3">
      <c r="A2234" s="11" t="s">
        <v>23</v>
      </c>
      <c r="B2234" s="11" t="s">
        <v>2324</v>
      </c>
      <c r="C2234" s="12" t="s">
        <v>2566</v>
      </c>
      <c r="D2234" s="25"/>
      <c r="E2234" s="39" t="str">
        <f>HYPERLINK("https://www.google.ru/search?q=1379755-410&amp;newwindow=1&amp;tbm=isch","Еще фото")</f>
        <v>Еще фото</v>
      </c>
      <c r="F2234" s="13"/>
      <c r="G2234" s="11" t="s">
        <v>2189</v>
      </c>
      <c r="H2234" s="11" t="s">
        <v>27</v>
      </c>
      <c r="I2234" s="14" t="s">
        <v>2190</v>
      </c>
      <c r="J2234" s="14" t="s">
        <v>29</v>
      </c>
      <c r="K2234" s="15" t="s">
        <v>30</v>
      </c>
      <c r="L2234" s="14" t="s">
        <v>2562</v>
      </c>
      <c r="M2234" s="14" t="s">
        <v>56</v>
      </c>
      <c r="N2234" s="14" t="s">
        <v>91</v>
      </c>
      <c r="O2234" s="14"/>
      <c r="P2234" s="15" t="s">
        <v>113</v>
      </c>
      <c r="Q2234" s="16">
        <v>6899</v>
      </c>
      <c r="R2234" s="17">
        <v>40</v>
      </c>
      <c r="S2234" s="18">
        <v>4760.3099999999995</v>
      </c>
      <c r="T2234" s="19" t="s">
        <v>36</v>
      </c>
      <c r="U2234" s="20" t="s">
        <v>41</v>
      </c>
      <c r="V2234" s="21" t="s">
        <v>42</v>
      </c>
      <c r="W2234" s="22">
        <v>6</v>
      </c>
      <c r="X2234" s="23"/>
    </row>
    <row r="2235" spans="1:24" s="1" customFormat="1" ht="17.100000000000001" customHeight="1" x14ac:dyDescent="0.3">
      <c r="A2235" s="11" t="s">
        <v>23</v>
      </c>
      <c r="B2235" s="11" t="s">
        <v>2551</v>
      </c>
      <c r="C2235" s="12" t="s">
        <v>2567</v>
      </c>
      <c r="D2235" s="53"/>
      <c r="E2235" s="39" t="str">
        <f t="shared" ref="E2235:E2240" si="52">HYPERLINK("https://www.google.ru/search?q=1379757-025&amp;newwindow=1&amp;tbm=isch","Еще фото")</f>
        <v>Еще фото</v>
      </c>
      <c r="F2235" s="13" t="s">
        <v>98</v>
      </c>
      <c r="G2235" s="11" t="s">
        <v>2198</v>
      </c>
      <c r="H2235" s="11" t="s">
        <v>27</v>
      </c>
      <c r="I2235" s="14" t="s">
        <v>2190</v>
      </c>
      <c r="J2235" s="14" t="s">
        <v>29</v>
      </c>
      <c r="K2235" s="15" t="s">
        <v>30</v>
      </c>
      <c r="L2235" s="56" t="s">
        <v>2568</v>
      </c>
      <c r="M2235" s="14" t="s">
        <v>56</v>
      </c>
      <c r="N2235" s="14" t="s">
        <v>84</v>
      </c>
      <c r="O2235" s="14"/>
      <c r="P2235" s="15" t="s">
        <v>385</v>
      </c>
      <c r="Q2235" s="16">
        <v>7899</v>
      </c>
      <c r="R2235" s="17">
        <v>40</v>
      </c>
      <c r="S2235" s="18">
        <v>5450.3099999999995</v>
      </c>
      <c r="T2235" s="19" t="s">
        <v>36</v>
      </c>
      <c r="U2235" s="20" t="s">
        <v>69</v>
      </c>
      <c r="V2235" s="21" t="s">
        <v>75</v>
      </c>
      <c r="W2235" s="22">
        <v>1</v>
      </c>
      <c r="X2235" s="23"/>
    </row>
    <row r="2236" spans="1:24" s="1" customFormat="1" ht="17.100000000000001" customHeight="1" x14ac:dyDescent="0.3">
      <c r="A2236" s="24" t="s">
        <v>23</v>
      </c>
      <c r="B2236" s="24" t="s">
        <v>2551</v>
      </c>
      <c r="C2236" s="12" t="s">
        <v>2567</v>
      </c>
      <c r="D2236" s="54"/>
      <c r="E2236" s="39" t="str">
        <f t="shared" si="52"/>
        <v>Еще фото</v>
      </c>
      <c r="F2236" s="13" t="s">
        <v>98</v>
      </c>
      <c r="G2236" s="24" t="s">
        <v>2198</v>
      </c>
      <c r="H2236" s="24" t="s">
        <v>27</v>
      </c>
      <c r="I2236" s="24" t="s">
        <v>2190</v>
      </c>
      <c r="J2236" s="14" t="s">
        <v>29</v>
      </c>
      <c r="K2236" s="15" t="s">
        <v>30</v>
      </c>
      <c r="L2236" s="57"/>
      <c r="M2236" s="14" t="s">
        <v>56</v>
      </c>
      <c r="N2236" s="14" t="s">
        <v>84</v>
      </c>
      <c r="O2236" s="14"/>
      <c r="P2236" s="15" t="s">
        <v>385</v>
      </c>
      <c r="Q2236" s="16">
        <v>7899</v>
      </c>
      <c r="R2236" s="17">
        <v>40</v>
      </c>
      <c r="S2236" s="18">
        <v>5450.3099999999995</v>
      </c>
      <c r="T2236" s="19" t="s">
        <v>36</v>
      </c>
      <c r="U2236" s="20" t="s">
        <v>37</v>
      </c>
      <c r="V2236" s="21" t="s">
        <v>38</v>
      </c>
      <c r="W2236" s="22">
        <v>3</v>
      </c>
      <c r="X2236" s="23"/>
    </row>
    <row r="2237" spans="1:24" s="1" customFormat="1" ht="17.100000000000001" customHeight="1" x14ac:dyDescent="0.3">
      <c r="A2237" s="24" t="s">
        <v>23</v>
      </c>
      <c r="B2237" s="24" t="s">
        <v>2551</v>
      </c>
      <c r="C2237" s="12" t="s">
        <v>2567</v>
      </c>
      <c r="D2237" s="54"/>
      <c r="E2237" s="39" t="str">
        <f t="shared" si="52"/>
        <v>Еще фото</v>
      </c>
      <c r="F2237" s="13" t="s">
        <v>98</v>
      </c>
      <c r="G2237" s="24" t="s">
        <v>2198</v>
      </c>
      <c r="H2237" s="24" t="s">
        <v>27</v>
      </c>
      <c r="I2237" s="24" t="s">
        <v>2190</v>
      </c>
      <c r="J2237" s="14" t="s">
        <v>29</v>
      </c>
      <c r="K2237" s="15" t="s">
        <v>30</v>
      </c>
      <c r="L2237" s="57"/>
      <c r="M2237" s="14" t="s">
        <v>56</v>
      </c>
      <c r="N2237" s="14" t="s">
        <v>84</v>
      </c>
      <c r="O2237" s="14"/>
      <c r="P2237" s="15" t="s">
        <v>385</v>
      </c>
      <c r="Q2237" s="16">
        <v>7899</v>
      </c>
      <c r="R2237" s="17">
        <v>40</v>
      </c>
      <c r="S2237" s="18">
        <v>5450.3099999999995</v>
      </c>
      <c r="T2237" s="19" t="s">
        <v>36</v>
      </c>
      <c r="U2237" s="20" t="s">
        <v>39</v>
      </c>
      <c r="V2237" s="21" t="s">
        <v>40</v>
      </c>
      <c r="W2237" s="22">
        <v>12</v>
      </c>
      <c r="X2237" s="23"/>
    </row>
    <row r="2238" spans="1:24" s="1" customFormat="1" ht="17.100000000000001" customHeight="1" x14ac:dyDescent="0.3">
      <c r="A2238" s="24" t="s">
        <v>23</v>
      </c>
      <c r="B2238" s="24" t="s">
        <v>2551</v>
      </c>
      <c r="C2238" s="12" t="s">
        <v>2567</v>
      </c>
      <c r="D2238" s="54"/>
      <c r="E2238" s="39" t="str">
        <f t="shared" si="52"/>
        <v>Еще фото</v>
      </c>
      <c r="F2238" s="13" t="s">
        <v>98</v>
      </c>
      <c r="G2238" s="24" t="s">
        <v>2198</v>
      </c>
      <c r="H2238" s="24" t="s">
        <v>27</v>
      </c>
      <c r="I2238" s="24" t="s">
        <v>2190</v>
      </c>
      <c r="J2238" s="14" t="s">
        <v>29</v>
      </c>
      <c r="K2238" s="15" t="s">
        <v>30</v>
      </c>
      <c r="L2238" s="57"/>
      <c r="M2238" s="14" t="s">
        <v>56</v>
      </c>
      <c r="N2238" s="14" t="s">
        <v>84</v>
      </c>
      <c r="O2238" s="14"/>
      <c r="P2238" s="15" t="s">
        <v>385</v>
      </c>
      <c r="Q2238" s="16">
        <v>7899</v>
      </c>
      <c r="R2238" s="17">
        <v>40</v>
      </c>
      <c r="S2238" s="18">
        <v>5450.3099999999995</v>
      </c>
      <c r="T2238" s="19" t="s">
        <v>36</v>
      </c>
      <c r="U2238" s="20" t="s">
        <v>41</v>
      </c>
      <c r="V2238" s="21" t="s">
        <v>42</v>
      </c>
      <c r="W2238" s="22">
        <v>19</v>
      </c>
      <c r="X2238" s="23"/>
    </row>
    <row r="2239" spans="1:24" s="1" customFormat="1" ht="17.100000000000001" customHeight="1" x14ac:dyDescent="0.3">
      <c r="A2239" s="24" t="s">
        <v>23</v>
      </c>
      <c r="B2239" s="24" t="s">
        <v>2551</v>
      </c>
      <c r="C2239" s="12" t="s">
        <v>2567</v>
      </c>
      <c r="D2239" s="54"/>
      <c r="E2239" s="39" t="str">
        <f t="shared" si="52"/>
        <v>Еще фото</v>
      </c>
      <c r="F2239" s="13" t="s">
        <v>98</v>
      </c>
      <c r="G2239" s="24" t="s">
        <v>2198</v>
      </c>
      <c r="H2239" s="24" t="s">
        <v>27</v>
      </c>
      <c r="I2239" s="24" t="s">
        <v>2190</v>
      </c>
      <c r="J2239" s="14" t="s">
        <v>29</v>
      </c>
      <c r="K2239" s="15" t="s">
        <v>30</v>
      </c>
      <c r="L2239" s="57"/>
      <c r="M2239" s="14" t="s">
        <v>56</v>
      </c>
      <c r="N2239" s="14" t="s">
        <v>84</v>
      </c>
      <c r="O2239" s="14"/>
      <c r="P2239" s="15" t="s">
        <v>385</v>
      </c>
      <c r="Q2239" s="16">
        <v>7899</v>
      </c>
      <c r="R2239" s="17">
        <v>40</v>
      </c>
      <c r="S2239" s="18">
        <v>5450.3099999999995</v>
      </c>
      <c r="T2239" s="19" t="s">
        <v>36</v>
      </c>
      <c r="U2239" s="20" t="s">
        <v>43</v>
      </c>
      <c r="V2239" s="21" t="s">
        <v>44</v>
      </c>
      <c r="W2239" s="22">
        <v>14</v>
      </c>
      <c r="X2239" s="23"/>
    </row>
    <row r="2240" spans="1:24" s="1" customFormat="1" ht="21.95" customHeight="1" x14ac:dyDescent="0.3">
      <c r="A2240" s="24" t="s">
        <v>23</v>
      </c>
      <c r="B2240" s="24" t="s">
        <v>2551</v>
      </c>
      <c r="C2240" s="12" t="s">
        <v>2567</v>
      </c>
      <c r="D2240" s="55"/>
      <c r="E2240" s="39" t="str">
        <f t="shared" si="52"/>
        <v>Еще фото</v>
      </c>
      <c r="F2240" s="13" t="s">
        <v>98</v>
      </c>
      <c r="G2240" s="24" t="s">
        <v>2198</v>
      </c>
      <c r="H2240" s="24" t="s">
        <v>27</v>
      </c>
      <c r="I2240" s="24" t="s">
        <v>2190</v>
      </c>
      <c r="J2240" s="14" t="s">
        <v>29</v>
      </c>
      <c r="K2240" s="15" t="s">
        <v>30</v>
      </c>
      <c r="L2240" s="58"/>
      <c r="M2240" s="14" t="s">
        <v>56</v>
      </c>
      <c r="N2240" s="14" t="s">
        <v>84</v>
      </c>
      <c r="O2240" s="14"/>
      <c r="P2240" s="15" t="s">
        <v>385</v>
      </c>
      <c r="Q2240" s="16">
        <v>7899</v>
      </c>
      <c r="R2240" s="17">
        <v>40</v>
      </c>
      <c r="S2240" s="18">
        <v>5450.3099999999995</v>
      </c>
      <c r="T2240" s="19" t="s">
        <v>36</v>
      </c>
      <c r="U2240" s="20" t="s">
        <v>104</v>
      </c>
      <c r="V2240" s="21" t="s">
        <v>105</v>
      </c>
      <c r="W2240" s="22">
        <v>5</v>
      </c>
      <c r="X2240" s="23"/>
    </row>
    <row r="2241" spans="1:24" s="1" customFormat="1" ht="21" customHeight="1" x14ac:dyDescent="0.3">
      <c r="A2241" s="11" t="s">
        <v>23</v>
      </c>
      <c r="B2241" s="11" t="s">
        <v>2551</v>
      </c>
      <c r="C2241" s="26" t="s">
        <v>2569</v>
      </c>
      <c r="D2241" s="53"/>
      <c r="E2241" s="39" t="str">
        <f>HYPERLINK("https://www.google.ru/search?q=1379757-390&amp;newwindow=1&amp;tbm=isch","Еще фото")</f>
        <v>Еще фото</v>
      </c>
      <c r="F2241" s="13" t="s">
        <v>98</v>
      </c>
      <c r="G2241" s="11" t="s">
        <v>2198</v>
      </c>
      <c r="H2241" s="11" t="s">
        <v>27</v>
      </c>
      <c r="I2241" s="14" t="s">
        <v>2190</v>
      </c>
      <c r="J2241" s="14" t="s">
        <v>29</v>
      </c>
      <c r="K2241" s="15" t="s">
        <v>30</v>
      </c>
      <c r="L2241" s="56" t="s">
        <v>2570</v>
      </c>
      <c r="M2241" s="14" t="s">
        <v>56</v>
      </c>
      <c r="N2241" s="14" t="s">
        <v>125</v>
      </c>
      <c r="O2241" s="14"/>
      <c r="P2241" s="15" t="s">
        <v>113</v>
      </c>
      <c r="Q2241" s="16">
        <v>7199</v>
      </c>
      <c r="R2241" s="17">
        <v>40</v>
      </c>
      <c r="S2241" s="18">
        <v>4967.3099999999995</v>
      </c>
      <c r="T2241" s="19" t="s">
        <v>36</v>
      </c>
      <c r="U2241" s="20" t="s">
        <v>37</v>
      </c>
      <c r="V2241" s="21" t="s">
        <v>38</v>
      </c>
      <c r="W2241" s="22">
        <v>8</v>
      </c>
      <c r="X2241" s="23"/>
    </row>
    <row r="2242" spans="1:24" s="1" customFormat="1" ht="21" customHeight="1" x14ac:dyDescent="0.3">
      <c r="A2242" s="24" t="s">
        <v>23</v>
      </c>
      <c r="B2242" s="24" t="s">
        <v>2551</v>
      </c>
      <c r="C2242" s="27" t="s">
        <v>2569</v>
      </c>
      <c r="D2242" s="54"/>
      <c r="E2242" s="39" t="str">
        <f>HYPERLINK("https://www.google.ru/search?q=1379757-390&amp;newwindow=1&amp;tbm=isch","Еще фото")</f>
        <v>Еще фото</v>
      </c>
      <c r="F2242" s="13" t="s">
        <v>98</v>
      </c>
      <c r="G2242" s="24" t="s">
        <v>2198</v>
      </c>
      <c r="H2242" s="24" t="s">
        <v>27</v>
      </c>
      <c r="I2242" s="24" t="s">
        <v>2190</v>
      </c>
      <c r="J2242" s="14" t="s">
        <v>29</v>
      </c>
      <c r="K2242" s="15" t="s">
        <v>30</v>
      </c>
      <c r="L2242" s="57"/>
      <c r="M2242" s="14" t="s">
        <v>56</v>
      </c>
      <c r="N2242" s="14" t="s">
        <v>125</v>
      </c>
      <c r="O2242" s="14"/>
      <c r="P2242" s="15" t="s">
        <v>113</v>
      </c>
      <c r="Q2242" s="16">
        <v>7199</v>
      </c>
      <c r="R2242" s="17">
        <v>40</v>
      </c>
      <c r="S2242" s="18">
        <v>4967.3099999999995</v>
      </c>
      <c r="T2242" s="19" t="s">
        <v>36</v>
      </c>
      <c r="U2242" s="20" t="s">
        <v>39</v>
      </c>
      <c r="V2242" s="21" t="s">
        <v>40</v>
      </c>
      <c r="W2242" s="22">
        <v>30</v>
      </c>
      <c r="X2242" s="23"/>
    </row>
    <row r="2243" spans="1:24" s="1" customFormat="1" ht="21" customHeight="1" x14ac:dyDescent="0.3">
      <c r="A2243" s="24" t="s">
        <v>23</v>
      </c>
      <c r="B2243" s="24" t="s">
        <v>2551</v>
      </c>
      <c r="C2243" s="27" t="s">
        <v>2569</v>
      </c>
      <c r="D2243" s="54"/>
      <c r="E2243" s="39" t="str">
        <f>HYPERLINK("https://www.google.ru/search?q=1379757-390&amp;newwindow=1&amp;tbm=isch","Еще фото")</f>
        <v>Еще фото</v>
      </c>
      <c r="F2243" s="13" t="s">
        <v>98</v>
      </c>
      <c r="G2243" s="24" t="s">
        <v>2198</v>
      </c>
      <c r="H2243" s="24" t="s">
        <v>27</v>
      </c>
      <c r="I2243" s="24" t="s">
        <v>2190</v>
      </c>
      <c r="J2243" s="14" t="s">
        <v>29</v>
      </c>
      <c r="K2243" s="15" t="s">
        <v>30</v>
      </c>
      <c r="L2243" s="57"/>
      <c r="M2243" s="14" t="s">
        <v>56</v>
      </c>
      <c r="N2243" s="14" t="s">
        <v>125</v>
      </c>
      <c r="O2243" s="14"/>
      <c r="P2243" s="15" t="s">
        <v>113</v>
      </c>
      <c r="Q2243" s="16">
        <v>7199</v>
      </c>
      <c r="R2243" s="17">
        <v>40</v>
      </c>
      <c r="S2243" s="18">
        <v>4967.3099999999995</v>
      </c>
      <c r="T2243" s="19" t="s">
        <v>36</v>
      </c>
      <c r="U2243" s="20" t="s">
        <v>41</v>
      </c>
      <c r="V2243" s="21" t="s">
        <v>42</v>
      </c>
      <c r="W2243" s="22">
        <v>28</v>
      </c>
      <c r="X2243" s="23"/>
    </row>
    <row r="2244" spans="1:24" s="1" customFormat="1" ht="21" customHeight="1" x14ac:dyDescent="0.3">
      <c r="A2244" s="24" t="s">
        <v>23</v>
      </c>
      <c r="B2244" s="24" t="s">
        <v>2551</v>
      </c>
      <c r="C2244" s="27" t="s">
        <v>2569</v>
      </c>
      <c r="D2244" s="54"/>
      <c r="E2244" s="39" t="str">
        <f>HYPERLINK("https://www.google.ru/search?q=1379757-390&amp;newwindow=1&amp;tbm=isch","Еще фото")</f>
        <v>Еще фото</v>
      </c>
      <c r="F2244" s="13" t="s">
        <v>98</v>
      </c>
      <c r="G2244" s="24" t="s">
        <v>2198</v>
      </c>
      <c r="H2244" s="24" t="s">
        <v>27</v>
      </c>
      <c r="I2244" s="24" t="s">
        <v>2190</v>
      </c>
      <c r="J2244" s="14" t="s">
        <v>29</v>
      </c>
      <c r="K2244" s="15" t="s">
        <v>30</v>
      </c>
      <c r="L2244" s="57"/>
      <c r="M2244" s="14" t="s">
        <v>56</v>
      </c>
      <c r="N2244" s="14" t="s">
        <v>125</v>
      </c>
      <c r="O2244" s="14"/>
      <c r="P2244" s="15" t="s">
        <v>113</v>
      </c>
      <c r="Q2244" s="16">
        <v>7199</v>
      </c>
      <c r="R2244" s="17">
        <v>40</v>
      </c>
      <c r="S2244" s="18">
        <v>4967.3099999999995</v>
      </c>
      <c r="T2244" s="19" t="s">
        <v>36</v>
      </c>
      <c r="U2244" s="20" t="s">
        <v>43</v>
      </c>
      <c r="V2244" s="21" t="s">
        <v>44</v>
      </c>
      <c r="W2244" s="22">
        <v>16</v>
      </c>
      <c r="X2244" s="23"/>
    </row>
    <row r="2245" spans="1:24" s="1" customFormat="1" ht="32.1" customHeight="1" x14ac:dyDescent="0.3">
      <c r="A2245" s="24" t="s">
        <v>23</v>
      </c>
      <c r="B2245" s="24" t="s">
        <v>2551</v>
      </c>
      <c r="C2245" s="27" t="s">
        <v>2569</v>
      </c>
      <c r="D2245" s="55"/>
      <c r="E2245" s="39" t="str">
        <f>HYPERLINK("https://www.google.ru/search?q=1379757-390&amp;newwindow=1&amp;tbm=isch","Еще фото")</f>
        <v>Еще фото</v>
      </c>
      <c r="F2245" s="13" t="s">
        <v>98</v>
      </c>
      <c r="G2245" s="24" t="s">
        <v>2198</v>
      </c>
      <c r="H2245" s="24" t="s">
        <v>27</v>
      </c>
      <c r="I2245" s="24" t="s">
        <v>2190</v>
      </c>
      <c r="J2245" s="14" t="s">
        <v>29</v>
      </c>
      <c r="K2245" s="15" t="s">
        <v>30</v>
      </c>
      <c r="L2245" s="58"/>
      <c r="M2245" s="14" t="s">
        <v>56</v>
      </c>
      <c r="N2245" s="14" t="s">
        <v>125</v>
      </c>
      <c r="O2245" s="14"/>
      <c r="P2245" s="15" t="s">
        <v>113</v>
      </c>
      <c r="Q2245" s="16">
        <v>7199</v>
      </c>
      <c r="R2245" s="17">
        <v>40</v>
      </c>
      <c r="S2245" s="18">
        <v>4967.3099999999995</v>
      </c>
      <c r="T2245" s="19" t="s">
        <v>36</v>
      </c>
      <c r="U2245" s="20" t="s">
        <v>104</v>
      </c>
      <c r="V2245" s="21" t="s">
        <v>105</v>
      </c>
      <c r="W2245" s="22">
        <v>6</v>
      </c>
      <c r="X2245" s="23"/>
    </row>
    <row r="2246" spans="1:24" s="1" customFormat="1" ht="35.1" customHeight="1" x14ac:dyDescent="0.3">
      <c r="A2246" s="11" t="s">
        <v>23</v>
      </c>
      <c r="B2246" s="11" t="s">
        <v>2551</v>
      </c>
      <c r="C2246" s="12" t="s">
        <v>2571</v>
      </c>
      <c r="D2246" s="53"/>
      <c r="E2246" s="39" t="str">
        <f>HYPERLINK("https://www.google.ru/search?q=1379757-400&amp;newwindow=1&amp;tbm=isch","Еще фото")</f>
        <v>Еще фото</v>
      </c>
      <c r="F2246" s="13"/>
      <c r="G2246" s="11" t="s">
        <v>2198</v>
      </c>
      <c r="H2246" s="11" t="s">
        <v>27</v>
      </c>
      <c r="I2246" s="14" t="s">
        <v>2190</v>
      </c>
      <c r="J2246" s="14" t="s">
        <v>29</v>
      </c>
      <c r="K2246" s="15" t="s">
        <v>30</v>
      </c>
      <c r="L2246" s="56" t="s">
        <v>2572</v>
      </c>
      <c r="M2246" s="14" t="s">
        <v>56</v>
      </c>
      <c r="N2246" s="14" t="s">
        <v>2086</v>
      </c>
      <c r="O2246" s="14"/>
      <c r="P2246" s="15" t="s">
        <v>113</v>
      </c>
      <c r="Q2246" s="16">
        <v>8199</v>
      </c>
      <c r="R2246" s="17">
        <v>40</v>
      </c>
      <c r="S2246" s="18">
        <v>5657.3099999999995</v>
      </c>
      <c r="T2246" s="19" t="s">
        <v>36</v>
      </c>
      <c r="U2246" s="20" t="s">
        <v>69</v>
      </c>
      <c r="V2246" s="21" t="s">
        <v>75</v>
      </c>
      <c r="W2246" s="22">
        <v>1</v>
      </c>
      <c r="X2246" s="23"/>
    </row>
    <row r="2247" spans="1:24" s="1" customFormat="1" ht="35.1" customHeight="1" x14ac:dyDescent="0.3">
      <c r="A2247" s="24" t="s">
        <v>23</v>
      </c>
      <c r="B2247" s="24" t="s">
        <v>2551</v>
      </c>
      <c r="C2247" s="12" t="s">
        <v>2571</v>
      </c>
      <c r="D2247" s="54"/>
      <c r="E2247" s="39" t="str">
        <f>HYPERLINK("https://www.google.ru/search?q=1379757-400&amp;newwindow=1&amp;tbm=isch","Еще фото")</f>
        <v>Еще фото</v>
      </c>
      <c r="F2247" s="13"/>
      <c r="G2247" s="24" t="s">
        <v>2198</v>
      </c>
      <c r="H2247" s="24" t="s">
        <v>27</v>
      </c>
      <c r="I2247" s="24" t="s">
        <v>2190</v>
      </c>
      <c r="J2247" s="14" t="s">
        <v>29</v>
      </c>
      <c r="K2247" s="15" t="s">
        <v>30</v>
      </c>
      <c r="L2247" s="57"/>
      <c r="M2247" s="14" t="s">
        <v>56</v>
      </c>
      <c r="N2247" s="14" t="s">
        <v>2086</v>
      </c>
      <c r="O2247" s="14"/>
      <c r="P2247" s="15" t="s">
        <v>113</v>
      </c>
      <c r="Q2247" s="16">
        <v>8199</v>
      </c>
      <c r="R2247" s="17">
        <v>40</v>
      </c>
      <c r="S2247" s="18">
        <v>5657.3099999999995</v>
      </c>
      <c r="T2247" s="19" t="s">
        <v>36</v>
      </c>
      <c r="U2247" s="20" t="s">
        <v>39</v>
      </c>
      <c r="V2247" s="21" t="s">
        <v>40</v>
      </c>
      <c r="W2247" s="22">
        <v>2</v>
      </c>
      <c r="X2247" s="23"/>
    </row>
    <row r="2248" spans="1:24" s="1" customFormat="1" ht="36.950000000000003" customHeight="1" x14ac:dyDescent="0.3">
      <c r="A2248" s="24" t="s">
        <v>23</v>
      </c>
      <c r="B2248" s="24" t="s">
        <v>2551</v>
      </c>
      <c r="C2248" s="12" t="s">
        <v>2571</v>
      </c>
      <c r="D2248" s="55"/>
      <c r="E2248" s="39" t="str">
        <f>HYPERLINK("https://www.google.ru/search?q=1379757-400&amp;newwindow=1&amp;tbm=isch","Еще фото")</f>
        <v>Еще фото</v>
      </c>
      <c r="F2248" s="13"/>
      <c r="G2248" s="24" t="s">
        <v>2198</v>
      </c>
      <c r="H2248" s="24" t="s">
        <v>27</v>
      </c>
      <c r="I2248" s="24" t="s">
        <v>2190</v>
      </c>
      <c r="J2248" s="14" t="s">
        <v>29</v>
      </c>
      <c r="K2248" s="15" t="s">
        <v>30</v>
      </c>
      <c r="L2248" s="58"/>
      <c r="M2248" s="14" t="s">
        <v>56</v>
      </c>
      <c r="N2248" s="14" t="s">
        <v>2086</v>
      </c>
      <c r="O2248" s="14"/>
      <c r="P2248" s="15" t="s">
        <v>113</v>
      </c>
      <c r="Q2248" s="16">
        <v>8199</v>
      </c>
      <c r="R2248" s="17">
        <v>40</v>
      </c>
      <c r="S2248" s="18">
        <v>5657.3099999999995</v>
      </c>
      <c r="T2248" s="19" t="s">
        <v>36</v>
      </c>
      <c r="U2248" s="20" t="s">
        <v>41</v>
      </c>
      <c r="V2248" s="21" t="s">
        <v>42</v>
      </c>
      <c r="W2248" s="22">
        <v>6</v>
      </c>
      <c r="X2248" s="23"/>
    </row>
    <row r="2249" spans="1:24" s="1" customFormat="1" ht="26.1" customHeight="1" x14ac:dyDescent="0.3">
      <c r="A2249" s="11" t="s">
        <v>23</v>
      </c>
      <c r="B2249" s="11" t="s">
        <v>2551</v>
      </c>
      <c r="C2249" s="12" t="s">
        <v>2573</v>
      </c>
      <c r="D2249" s="53"/>
      <c r="E2249" s="39" t="str">
        <f>HYPERLINK("https://www.google.ru/search?q=1379757-410&amp;newwindow=1&amp;tbm=isch","Еще фото")</f>
        <v>Еще фото</v>
      </c>
      <c r="F2249" s="13" t="s">
        <v>98</v>
      </c>
      <c r="G2249" s="11" t="s">
        <v>2198</v>
      </c>
      <c r="H2249" s="11" t="s">
        <v>27</v>
      </c>
      <c r="I2249" s="14" t="s">
        <v>2190</v>
      </c>
      <c r="J2249" s="14" t="s">
        <v>29</v>
      </c>
      <c r="K2249" s="15" t="s">
        <v>30</v>
      </c>
      <c r="L2249" s="56" t="s">
        <v>2572</v>
      </c>
      <c r="M2249" s="14" t="s">
        <v>56</v>
      </c>
      <c r="N2249" s="14" t="s">
        <v>91</v>
      </c>
      <c r="O2249" s="14"/>
      <c r="P2249" s="15" t="s">
        <v>385</v>
      </c>
      <c r="Q2249" s="16">
        <v>8299</v>
      </c>
      <c r="R2249" s="17">
        <v>40</v>
      </c>
      <c r="S2249" s="18">
        <v>5726.3099999999995</v>
      </c>
      <c r="T2249" s="19" t="s">
        <v>36</v>
      </c>
      <c r="U2249" s="20" t="s">
        <v>39</v>
      </c>
      <c r="V2249" s="21" t="s">
        <v>40</v>
      </c>
      <c r="W2249" s="22">
        <v>1</v>
      </c>
      <c r="X2249" s="23"/>
    </row>
    <row r="2250" spans="1:24" s="1" customFormat="1" ht="26.1" customHeight="1" x14ac:dyDescent="0.3">
      <c r="A2250" s="24" t="s">
        <v>23</v>
      </c>
      <c r="B2250" s="24" t="s">
        <v>2551</v>
      </c>
      <c r="C2250" s="12" t="s">
        <v>2573</v>
      </c>
      <c r="D2250" s="54"/>
      <c r="E2250" s="39" t="str">
        <f>HYPERLINK("https://www.google.ru/search?q=1379757-410&amp;newwindow=1&amp;tbm=isch","Еще фото")</f>
        <v>Еще фото</v>
      </c>
      <c r="F2250" s="13" t="s">
        <v>98</v>
      </c>
      <c r="G2250" s="24" t="s">
        <v>2198</v>
      </c>
      <c r="H2250" s="24" t="s">
        <v>27</v>
      </c>
      <c r="I2250" s="24" t="s">
        <v>2190</v>
      </c>
      <c r="J2250" s="14" t="s">
        <v>29</v>
      </c>
      <c r="K2250" s="15" t="s">
        <v>30</v>
      </c>
      <c r="L2250" s="57"/>
      <c r="M2250" s="14" t="s">
        <v>56</v>
      </c>
      <c r="N2250" s="14" t="s">
        <v>91</v>
      </c>
      <c r="O2250" s="14"/>
      <c r="P2250" s="15" t="s">
        <v>385</v>
      </c>
      <c r="Q2250" s="16">
        <v>8299</v>
      </c>
      <c r="R2250" s="17">
        <v>40</v>
      </c>
      <c r="S2250" s="18">
        <v>5726.3099999999995</v>
      </c>
      <c r="T2250" s="19" t="s">
        <v>36</v>
      </c>
      <c r="U2250" s="20" t="s">
        <v>41</v>
      </c>
      <c r="V2250" s="21" t="s">
        <v>42</v>
      </c>
      <c r="W2250" s="22">
        <v>11</v>
      </c>
      <c r="X2250" s="23"/>
    </row>
    <row r="2251" spans="1:24" s="1" customFormat="1" ht="26.1" customHeight="1" x14ac:dyDescent="0.3">
      <c r="A2251" s="24" t="s">
        <v>23</v>
      </c>
      <c r="B2251" s="24" t="s">
        <v>2551</v>
      </c>
      <c r="C2251" s="12" t="s">
        <v>2573</v>
      </c>
      <c r="D2251" s="54"/>
      <c r="E2251" s="39" t="str">
        <f>HYPERLINK("https://www.google.ru/search?q=1379757-410&amp;newwindow=1&amp;tbm=isch","Еще фото")</f>
        <v>Еще фото</v>
      </c>
      <c r="F2251" s="13" t="s">
        <v>98</v>
      </c>
      <c r="G2251" s="24" t="s">
        <v>2198</v>
      </c>
      <c r="H2251" s="24" t="s">
        <v>27</v>
      </c>
      <c r="I2251" s="24" t="s">
        <v>2190</v>
      </c>
      <c r="J2251" s="14" t="s">
        <v>29</v>
      </c>
      <c r="K2251" s="15" t="s">
        <v>30</v>
      </c>
      <c r="L2251" s="57"/>
      <c r="M2251" s="14" t="s">
        <v>56</v>
      </c>
      <c r="N2251" s="14" t="s">
        <v>91</v>
      </c>
      <c r="O2251" s="14"/>
      <c r="P2251" s="15" t="s">
        <v>385</v>
      </c>
      <c r="Q2251" s="16">
        <v>8299</v>
      </c>
      <c r="R2251" s="17">
        <v>40</v>
      </c>
      <c r="S2251" s="18">
        <v>5726.3099999999995</v>
      </c>
      <c r="T2251" s="19" t="s">
        <v>36</v>
      </c>
      <c r="U2251" s="20" t="s">
        <v>43</v>
      </c>
      <c r="V2251" s="21" t="s">
        <v>44</v>
      </c>
      <c r="W2251" s="22">
        <v>8</v>
      </c>
      <c r="X2251" s="23"/>
    </row>
    <row r="2252" spans="1:24" s="1" customFormat="1" ht="26.1" customHeight="1" x14ac:dyDescent="0.3">
      <c r="A2252" s="24" t="s">
        <v>23</v>
      </c>
      <c r="B2252" s="24" t="s">
        <v>2551</v>
      </c>
      <c r="C2252" s="12" t="s">
        <v>2573</v>
      </c>
      <c r="D2252" s="55"/>
      <c r="E2252" s="39" t="str">
        <f>HYPERLINK("https://www.google.ru/search?q=1379757-410&amp;newwindow=1&amp;tbm=isch","Еще фото")</f>
        <v>Еще фото</v>
      </c>
      <c r="F2252" s="13" t="s">
        <v>98</v>
      </c>
      <c r="G2252" s="24" t="s">
        <v>2198</v>
      </c>
      <c r="H2252" s="24" t="s">
        <v>27</v>
      </c>
      <c r="I2252" s="24" t="s">
        <v>2190</v>
      </c>
      <c r="J2252" s="14" t="s">
        <v>29</v>
      </c>
      <c r="K2252" s="15" t="s">
        <v>30</v>
      </c>
      <c r="L2252" s="58"/>
      <c r="M2252" s="14" t="s">
        <v>56</v>
      </c>
      <c r="N2252" s="14" t="s">
        <v>91</v>
      </c>
      <c r="O2252" s="14"/>
      <c r="P2252" s="15" t="s">
        <v>385</v>
      </c>
      <c r="Q2252" s="16">
        <v>8299</v>
      </c>
      <c r="R2252" s="17">
        <v>40</v>
      </c>
      <c r="S2252" s="18">
        <v>5726.3099999999995</v>
      </c>
      <c r="T2252" s="19" t="s">
        <v>36</v>
      </c>
      <c r="U2252" s="20" t="s">
        <v>104</v>
      </c>
      <c r="V2252" s="21" t="s">
        <v>105</v>
      </c>
      <c r="W2252" s="22">
        <v>3</v>
      </c>
      <c r="X2252" s="23"/>
    </row>
    <row r="2253" spans="1:24" s="1" customFormat="1" ht="26.1" customHeight="1" x14ac:dyDescent="0.3">
      <c r="A2253" s="11" t="s">
        <v>23</v>
      </c>
      <c r="B2253" s="11" t="s">
        <v>2260</v>
      </c>
      <c r="C2253" s="12" t="s">
        <v>2574</v>
      </c>
      <c r="D2253" s="53"/>
      <c r="E2253" s="39" t="str">
        <f>HYPERLINK("https://www.google.ru/search?q=1379758-001&amp;newwindow=1&amp;tbm=isch","Еще фото")</f>
        <v>Еще фото</v>
      </c>
      <c r="F2253" s="13" t="s">
        <v>98</v>
      </c>
      <c r="G2253" s="11" t="s">
        <v>2198</v>
      </c>
      <c r="H2253" s="11" t="s">
        <v>27</v>
      </c>
      <c r="I2253" s="14" t="s">
        <v>2190</v>
      </c>
      <c r="J2253" s="14" t="s">
        <v>29</v>
      </c>
      <c r="K2253" s="15" t="s">
        <v>30</v>
      </c>
      <c r="L2253" s="56" t="s">
        <v>2575</v>
      </c>
      <c r="M2253" s="14" t="s">
        <v>56</v>
      </c>
      <c r="N2253" s="14" t="s">
        <v>33</v>
      </c>
      <c r="O2253" s="14"/>
      <c r="P2253" s="15" t="s">
        <v>113</v>
      </c>
      <c r="Q2253" s="16">
        <v>7399</v>
      </c>
      <c r="R2253" s="17">
        <v>40</v>
      </c>
      <c r="S2253" s="18">
        <v>5105.3099999999995</v>
      </c>
      <c r="T2253" s="19" t="s">
        <v>36</v>
      </c>
      <c r="U2253" s="20" t="s">
        <v>37</v>
      </c>
      <c r="V2253" s="21" t="s">
        <v>38</v>
      </c>
      <c r="W2253" s="22">
        <v>7</v>
      </c>
      <c r="X2253" s="23"/>
    </row>
    <row r="2254" spans="1:24" s="1" customFormat="1" ht="26.1" customHeight="1" x14ac:dyDescent="0.3">
      <c r="A2254" s="24" t="s">
        <v>23</v>
      </c>
      <c r="B2254" s="24" t="s">
        <v>2260</v>
      </c>
      <c r="C2254" s="12" t="s">
        <v>2574</v>
      </c>
      <c r="D2254" s="54"/>
      <c r="E2254" s="39" t="str">
        <f>HYPERLINK("https://www.google.ru/search?q=1379758-001&amp;newwindow=1&amp;tbm=isch","Еще фото")</f>
        <v>Еще фото</v>
      </c>
      <c r="F2254" s="13" t="s">
        <v>98</v>
      </c>
      <c r="G2254" s="24" t="s">
        <v>2198</v>
      </c>
      <c r="H2254" s="24" t="s">
        <v>27</v>
      </c>
      <c r="I2254" s="24" t="s">
        <v>2190</v>
      </c>
      <c r="J2254" s="14" t="s">
        <v>29</v>
      </c>
      <c r="K2254" s="15" t="s">
        <v>30</v>
      </c>
      <c r="L2254" s="57"/>
      <c r="M2254" s="14" t="s">
        <v>56</v>
      </c>
      <c r="N2254" s="14" t="s">
        <v>33</v>
      </c>
      <c r="O2254" s="14"/>
      <c r="P2254" s="15" t="s">
        <v>113</v>
      </c>
      <c r="Q2254" s="16">
        <v>7399</v>
      </c>
      <c r="R2254" s="17">
        <v>40</v>
      </c>
      <c r="S2254" s="18">
        <v>5105.3099999999995</v>
      </c>
      <c r="T2254" s="19" t="s">
        <v>36</v>
      </c>
      <c r="U2254" s="20" t="s">
        <v>39</v>
      </c>
      <c r="V2254" s="21" t="s">
        <v>40</v>
      </c>
      <c r="W2254" s="22">
        <v>16</v>
      </c>
      <c r="X2254" s="23"/>
    </row>
    <row r="2255" spans="1:24" s="1" customFormat="1" ht="26.1" customHeight="1" x14ac:dyDescent="0.3">
      <c r="A2255" s="24" t="s">
        <v>23</v>
      </c>
      <c r="B2255" s="24" t="s">
        <v>2260</v>
      </c>
      <c r="C2255" s="12" t="s">
        <v>2574</v>
      </c>
      <c r="D2255" s="54"/>
      <c r="E2255" s="39" t="str">
        <f>HYPERLINK("https://www.google.ru/search?q=1379758-001&amp;newwindow=1&amp;tbm=isch","Еще фото")</f>
        <v>Еще фото</v>
      </c>
      <c r="F2255" s="13" t="s">
        <v>98</v>
      </c>
      <c r="G2255" s="24" t="s">
        <v>2198</v>
      </c>
      <c r="H2255" s="24" t="s">
        <v>27</v>
      </c>
      <c r="I2255" s="24" t="s">
        <v>2190</v>
      </c>
      <c r="J2255" s="14" t="s">
        <v>29</v>
      </c>
      <c r="K2255" s="15" t="s">
        <v>30</v>
      </c>
      <c r="L2255" s="57"/>
      <c r="M2255" s="14" t="s">
        <v>56</v>
      </c>
      <c r="N2255" s="14" t="s">
        <v>33</v>
      </c>
      <c r="O2255" s="14"/>
      <c r="P2255" s="15" t="s">
        <v>113</v>
      </c>
      <c r="Q2255" s="16">
        <v>7399</v>
      </c>
      <c r="R2255" s="17">
        <v>40</v>
      </c>
      <c r="S2255" s="18">
        <v>5105.3099999999995</v>
      </c>
      <c r="T2255" s="19" t="s">
        <v>36</v>
      </c>
      <c r="U2255" s="20" t="s">
        <v>41</v>
      </c>
      <c r="V2255" s="21" t="s">
        <v>42</v>
      </c>
      <c r="W2255" s="22">
        <v>18</v>
      </c>
      <c r="X2255" s="23"/>
    </row>
    <row r="2256" spans="1:24" s="1" customFormat="1" ht="26.1" customHeight="1" x14ac:dyDescent="0.3">
      <c r="A2256" s="24" t="s">
        <v>23</v>
      </c>
      <c r="B2256" s="24" t="s">
        <v>2260</v>
      </c>
      <c r="C2256" s="12" t="s">
        <v>2574</v>
      </c>
      <c r="D2256" s="55"/>
      <c r="E2256" s="39" t="str">
        <f>HYPERLINK("https://www.google.ru/search?q=1379758-001&amp;newwindow=1&amp;tbm=isch","Еще фото")</f>
        <v>Еще фото</v>
      </c>
      <c r="F2256" s="13" t="s">
        <v>98</v>
      </c>
      <c r="G2256" s="24" t="s">
        <v>2198</v>
      </c>
      <c r="H2256" s="24" t="s">
        <v>27</v>
      </c>
      <c r="I2256" s="24" t="s">
        <v>2190</v>
      </c>
      <c r="J2256" s="14" t="s">
        <v>29</v>
      </c>
      <c r="K2256" s="15" t="s">
        <v>30</v>
      </c>
      <c r="L2256" s="58"/>
      <c r="M2256" s="14" t="s">
        <v>56</v>
      </c>
      <c r="N2256" s="14" t="s">
        <v>33</v>
      </c>
      <c r="O2256" s="14"/>
      <c r="P2256" s="15" t="s">
        <v>113</v>
      </c>
      <c r="Q2256" s="16">
        <v>7399</v>
      </c>
      <c r="R2256" s="17">
        <v>40</v>
      </c>
      <c r="S2256" s="18">
        <v>5105.3099999999995</v>
      </c>
      <c r="T2256" s="19" t="s">
        <v>36</v>
      </c>
      <c r="U2256" s="20" t="s">
        <v>43</v>
      </c>
      <c r="V2256" s="21" t="s">
        <v>44</v>
      </c>
      <c r="W2256" s="22">
        <v>8</v>
      </c>
      <c r="X2256" s="23"/>
    </row>
    <row r="2257" spans="1:24" s="1" customFormat="1" ht="51.95" customHeight="1" x14ac:dyDescent="0.3">
      <c r="A2257" s="11" t="s">
        <v>23</v>
      </c>
      <c r="B2257" s="11" t="s">
        <v>2260</v>
      </c>
      <c r="C2257" s="12" t="s">
        <v>2576</v>
      </c>
      <c r="D2257" s="59"/>
      <c r="E2257" s="39" t="str">
        <f>HYPERLINK("https://www.google.ru/search?q=1379758-100&amp;newwindow=1&amp;tbm=isch","Еще фото")</f>
        <v>Еще фото</v>
      </c>
      <c r="F2257" s="13"/>
      <c r="G2257" s="11" t="s">
        <v>2198</v>
      </c>
      <c r="H2257" s="11" t="s">
        <v>27</v>
      </c>
      <c r="I2257" s="14" t="s">
        <v>2190</v>
      </c>
      <c r="J2257" s="14" t="s">
        <v>29</v>
      </c>
      <c r="K2257" s="15" t="s">
        <v>30</v>
      </c>
      <c r="L2257" s="56" t="s">
        <v>2262</v>
      </c>
      <c r="M2257" s="14" t="s">
        <v>56</v>
      </c>
      <c r="N2257" s="14" t="s">
        <v>636</v>
      </c>
      <c r="O2257" s="14"/>
      <c r="P2257" s="15" t="s">
        <v>113</v>
      </c>
      <c r="Q2257" s="16">
        <v>8299</v>
      </c>
      <c r="R2257" s="17">
        <v>40</v>
      </c>
      <c r="S2257" s="18">
        <v>5726.3099999999995</v>
      </c>
      <c r="T2257" s="19" t="s">
        <v>36</v>
      </c>
      <c r="U2257" s="20" t="s">
        <v>39</v>
      </c>
      <c r="V2257" s="21" t="s">
        <v>40</v>
      </c>
      <c r="W2257" s="22">
        <v>5</v>
      </c>
      <c r="X2257" s="23"/>
    </row>
    <row r="2258" spans="1:24" s="1" customFormat="1" ht="60.95" customHeight="1" x14ac:dyDescent="0.3">
      <c r="A2258" s="24" t="s">
        <v>23</v>
      </c>
      <c r="B2258" s="24" t="s">
        <v>2260</v>
      </c>
      <c r="C2258" s="12" t="s">
        <v>2576</v>
      </c>
      <c r="D2258" s="60"/>
      <c r="E2258" s="39" t="str">
        <f>HYPERLINK("https://www.google.ru/search?q=1379758-100&amp;newwindow=1&amp;tbm=isch","Еще фото")</f>
        <v>Еще фото</v>
      </c>
      <c r="F2258" s="13"/>
      <c r="G2258" s="24" t="s">
        <v>2198</v>
      </c>
      <c r="H2258" s="24" t="s">
        <v>27</v>
      </c>
      <c r="I2258" s="24" t="s">
        <v>2190</v>
      </c>
      <c r="J2258" s="14" t="s">
        <v>29</v>
      </c>
      <c r="K2258" s="15" t="s">
        <v>30</v>
      </c>
      <c r="L2258" s="58"/>
      <c r="M2258" s="14" t="s">
        <v>56</v>
      </c>
      <c r="N2258" s="14" t="s">
        <v>636</v>
      </c>
      <c r="O2258" s="14"/>
      <c r="P2258" s="15" t="s">
        <v>113</v>
      </c>
      <c r="Q2258" s="16">
        <v>8299</v>
      </c>
      <c r="R2258" s="17">
        <v>40</v>
      </c>
      <c r="S2258" s="18">
        <v>5726.3099999999995</v>
      </c>
      <c r="T2258" s="19" t="s">
        <v>36</v>
      </c>
      <c r="U2258" s="20" t="s">
        <v>43</v>
      </c>
      <c r="V2258" s="21" t="s">
        <v>44</v>
      </c>
      <c r="W2258" s="22">
        <v>4</v>
      </c>
      <c r="X2258" s="23"/>
    </row>
    <row r="2259" spans="1:24" s="1" customFormat="1" ht="21" customHeight="1" x14ac:dyDescent="0.3">
      <c r="A2259" s="11" t="s">
        <v>23</v>
      </c>
      <c r="B2259" s="11" t="s">
        <v>2260</v>
      </c>
      <c r="C2259" s="26" t="s">
        <v>2577</v>
      </c>
      <c r="D2259" s="53"/>
      <c r="E2259" s="39" t="str">
        <f>HYPERLINK("https://www.google.ru/search?q=1379758-390&amp;newwindow=1&amp;tbm=isch","Еще фото")</f>
        <v>Еще фото</v>
      </c>
      <c r="F2259" s="13"/>
      <c r="G2259" s="11" t="s">
        <v>2198</v>
      </c>
      <c r="H2259" s="11" t="s">
        <v>27</v>
      </c>
      <c r="I2259" s="14" t="s">
        <v>2190</v>
      </c>
      <c r="J2259" s="14" t="s">
        <v>29</v>
      </c>
      <c r="K2259" s="15" t="s">
        <v>30</v>
      </c>
      <c r="L2259" s="56" t="s">
        <v>2575</v>
      </c>
      <c r="M2259" s="14"/>
      <c r="N2259" s="14" t="s">
        <v>125</v>
      </c>
      <c r="O2259" s="14"/>
      <c r="P2259" s="15" t="s">
        <v>113</v>
      </c>
      <c r="Q2259" s="16">
        <v>5399</v>
      </c>
      <c r="R2259" s="17">
        <v>40</v>
      </c>
      <c r="S2259" s="18">
        <v>3725.31</v>
      </c>
      <c r="T2259" s="19" t="s">
        <v>36</v>
      </c>
      <c r="U2259" s="20" t="s">
        <v>37</v>
      </c>
      <c r="V2259" s="21" t="s">
        <v>38</v>
      </c>
      <c r="W2259" s="22">
        <v>8</v>
      </c>
      <c r="X2259" s="23"/>
    </row>
    <row r="2260" spans="1:24" s="1" customFormat="1" ht="21" customHeight="1" x14ac:dyDescent="0.3">
      <c r="A2260" s="24" t="s">
        <v>23</v>
      </c>
      <c r="B2260" s="24" t="s">
        <v>2260</v>
      </c>
      <c r="C2260" s="27" t="s">
        <v>2577</v>
      </c>
      <c r="D2260" s="54"/>
      <c r="E2260" s="39" t="str">
        <f>HYPERLINK("https://www.google.ru/search?q=1379758-390&amp;newwindow=1&amp;tbm=isch","Еще фото")</f>
        <v>Еще фото</v>
      </c>
      <c r="F2260" s="13"/>
      <c r="G2260" s="24" t="s">
        <v>2198</v>
      </c>
      <c r="H2260" s="24" t="s">
        <v>27</v>
      </c>
      <c r="I2260" s="24" t="s">
        <v>2190</v>
      </c>
      <c r="J2260" s="14" t="s">
        <v>29</v>
      </c>
      <c r="K2260" s="15" t="s">
        <v>30</v>
      </c>
      <c r="L2260" s="57"/>
      <c r="M2260" s="14"/>
      <c r="N2260" s="14" t="s">
        <v>125</v>
      </c>
      <c r="O2260" s="14"/>
      <c r="P2260" s="15" t="s">
        <v>113</v>
      </c>
      <c r="Q2260" s="16">
        <v>5399</v>
      </c>
      <c r="R2260" s="17">
        <v>40</v>
      </c>
      <c r="S2260" s="18">
        <v>3725.31</v>
      </c>
      <c r="T2260" s="19" t="s">
        <v>36</v>
      </c>
      <c r="U2260" s="20" t="s">
        <v>39</v>
      </c>
      <c r="V2260" s="21" t="s">
        <v>40</v>
      </c>
      <c r="W2260" s="22">
        <v>19</v>
      </c>
      <c r="X2260" s="23"/>
    </row>
    <row r="2261" spans="1:24" s="1" customFormat="1" ht="21" customHeight="1" x14ac:dyDescent="0.3">
      <c r="A2261" s="24" t="s">
        <v>23</v>
      </c>
      <c r="B2261" s="24" t="s">
        <v>2260</v>
      </c>
      <c r="C2261" s="27" t="s">
        <v>2577</v>
      </c>
      <c r="D2261" s="54"/>
      <c r="E2261" s="39" t="str">
        <f>HYPERLINK("https://www.google.ru/search?q=1379758-390&amp;newwindow=1&amp;tbm=isch","Еще фото")</f>
        <v>Еще фото</v>
      </c>
      <c r="F2261" s="13"/>
      <c r="G2261" s="24" t="s">
        <v>2198</v>
      </c>
      <c r="H2261" s="24" t="s">
        <v>27</v>
      </c>
      <c r="I2261" s="24" t="s">
        <v>2190</v>
      </c>
      <c r="J2261" s="14" t="s">
        <v>29</v>
      </c>
      <c r="K2261" s="15" t="s">
        <v>30</v>
      </c>
      <c r="L2261" s="57"/>
      <c r="M2261" s="14"/>
      <c r="N2261" s="14" t="s">
        <v>125</v>
      </c>
      <c r="O2261" s="14"/>
      <c r="P2261" s="15" t="s">
        <v>113</v>
      </c>
      <c r="Q2261" s="16">
        <v>5399</v>
      </c>
      <c r="R2261" s="17">
        <v>40</v>
      </c>
      <c r="S2261" s="18">
        <v>3725.31</v>
      </c>
      <c r="T2261" s="19" t="s">
        <v>36</v>
      </c>
      <c r="U2261" s="20" t="s">
        <v>41</v>
      </c>
      <c r="V2261" s="21" t="s">
        <v>42</v>
      </c>
      <c r="W2261" s="22">
        <v>28</v>
      </c>
      <c r="X2261" s="23"/>
    </row>
    <row r="2262" spans="1:24" s="1" customFormat="1" ht="21" customHeight="1" x14ac:dyDescent="0.3">
      <c r="A2262" s="24" t="s">
        <v>23</v>
      </c>
      <c r="B2262" s="24" t="s">
        <v>2260</v>
      </c>
      <c r="C2262" s="27" t="s">
        <v>2577</v>
      </c>
      <c r="D2262" s="54"/>
      <c r="E2262" s="39" t="str">
        <f>HYPERLINK("https://www.google.ru/search?q=1379758-390&amp;newwindow=1&amp;tbm=isch","Еще фото")</f>
        <v>Еще фото</v>
      </c>
      <c r="F2262" s="13"/>
      <c r="G2262" s="24" t="s">
        <v>2198</v>
      </c>
      <c r="H2262" s="24" t="s">
        <v>27</v>
      </c>
      <c r="I2262" s="24" t="s">
        <v>2190</v>
      </c>
      <c r="J2262" s="14" t="s">
        <v>29</v>
      </c>
      <c r="K2262" s="15" t="s">
        <v>30</v>
      </c>
      <c r="L2262" s="57"/>
      <c r="M2262" s="14"/>
      <c r="N2262" s="14" t="s">
        <v>125</v>
      </c>
      <c r="O2262" s="14"/>
      <c r="P2262" s="15" t="s">
        <v>113</v>
      </c>
      <c r="Q2262" s="16">
        <v>5399</v>
      </c>
      <c r="R2262" s="17">
        <v>40</v>
      </c>
      <c r="S2262" s="18">
        <v>3725.31</v>
      </c>
      <c r="T2262" s="19" t="s">
        <v>36</v>
      </c>
      <c r="U2262" s="20" t="s">
        <v>43</v>
      </c>
      <c r="V2262" s="21" t="s">
        <v>44</v>
      </c>
      <c r="W2262" s="22">
        <v>4</v>
      </c>
      <c r="X2262" s="23"/>
    </row>
    <row r="2263" spans="1:24" s="1" customFormat="1" ht="32.1" customHeight="1" x14ac:dyDescent="0.3">
      <c r="A2263" s="24" t="s">
        <v>23</v>
      </c>
      <c r="B2263" s="24" t="s">
        <v>2260</v>
      </c>
      <c r="C2263" s="27" t="s">
        <v>2577</v>
      </c>
      <c r="D2263" s="55"/>
      <c r="E2263" s="39" t="str">
        <f>HYPERLINK("https://www.google.ru/search?q=1379758-390&amp;newwindow=1&amp;tbm=isch","Еще фото")</f>
        <v>Еще фото</v>
      </c>
      <c r="F2263" s="13"/>
      <c r="G2263" s="24" t="s">
        <v>2198</v>
      </c>
      <c r="H2263" s="24" t="s">
        <v>27</v>
      </c>
      <c r="I2263" s="24" t="s">
        <v>2190</v>
      </c>
      <c r="J2263" s="14" t="s">
        <v>29</v>
      </c>
      <c r="K2263" s="15" t="s">
        <v>30</v>
      </c>
      <c r="L2263" s="58"/>
      <c r="M2263" s="14"/>
      <c r="N2263" s="14" t="s">
        <v>125</v>
      </c>
      <c r="O2263" s="14"/>
      <c r="P2263" s="15" t="s">
        <v>113</v>
      </c>
      <c r="Q2263" s="16">
        <v>5399</v>
      </c>
      <c r="R2263" s="17">
        <v>40</v>
      </c>
      <c r="S2263" s="18">
        <v>3725.31</v>
      </c>
      <c r="T2263" s="19" t="s">
        <v>36</v>
      </c>
      <c r="U2263" s="20" t="s">
        <v>104</v>
      </c>
      <c r="V2263" s="21" t="s">
        <v>105</v>
      </c>
      <c r="W2263" s="22">
        <v>1</v>
      </c>
      <c r="X2263" s="23"/>
    </row>
    <row r="2264" spans="1:24" s="1" customFormat="1" ht="21" customHeight="1" x14ac:dyDescent="0.3">
      <c r="A2264" s="11" t="s">
        <v>23</v>
      </c>
      <c r="B2264" s="11" t="s">
        <v>2260</v>
      </c>
      <c r="C2264" s="26" t="s">
        <v>2578</v>
      </c>
      <c r="D2264" s="53"/>
      <c r="E2264" s="39" t="str">
        <f>HYPERLINK("https://www.google.ru/search?q=1379758-410&amp;newwindow=1&amp;tbm=isch","Еще фото")</f>
        <v>Еще фото</v>
      </c>
      <c r="F2264" s="13"/>
      <c r="G2264" s="11" t="s">
        <v>2198</v>
      </c>
      <c r="H2264" s="11" t="s">
        <v>27</v>
      </c>
      <c r="I2264" s="14" t="s">
        <v>2190</v>
      </c>
      <c r="J2264" s="14" t="s">
        <v>29</v>
      </c>
      <c r="K2264" s="15" t="s">
        <v>30</v>
      </c>
      <c r="L2264" s="56" t="s">
        <v>2262</v>
      </c>
      <c r="M2264" s="14" t="s">
        <v>56</v>
      </c>
      <c r="N2264" s="14" t="s">
        <v>91</v>
      </c>
      <c r="O2264" s="14"/>
      <c r="P2264" s="15" t="s">
        <v>113</v>
      </c>
      <c r="Q2264" s="16">
        <v>8199</v>
      </c>
      <c r="R2264" s="17">
        <v>40</v>
      </c>
      <c r="S2264" s="18">
        <v>5657.3099999999995</v>
      </c>
      <c r="T2264" s="19" t="s">
        <v>36</v>
      </c>
      <c r="U2264" s="20" t="s">
        <v>69</v>
      </c>
      <c r="V2264" s="21" t="s">
        <v>75</v>
      </c>
      <c r="W2264" s="22">
        <v>2</v>
      </c>
      <c r="X2264" s="23"/>
    </row>
    <row r="2265" spans="1:24" s="1" customFormat="1" ht="21" customHeight="1" x14ac:dyDescent="0.3">
      <c r="A2265" s="24" t="s">
        <v>23</v>
      </c>
      <c r="B2265" s="24" t="s">
        <v>2260</v>
      </c>
      <c r="C2265" s="27" t="s">
        <v>2578</v>
      </c>
      <c r="D2265" s="54"/>
      <c r="E2265" s="39" t="str">
        <f>HYPERLINK("https://www.google.ru/search?q=1379758-410&amp;newwindow=1&amp;tbm=isch","Еще фото")</f>
        <v>Еще фото</v>
      </c>
      <c r="F2265" s="13"/>
      <c r="G2265" s="24" t="s">
        <v>2198</v>
      </c>
      <c r="H2265" s="24" t="s">
        <v>27</v>
      </c>
      <c r="I2265" s="24" t="s">
        <v>2190</v>
      </c>
      <c r="J2265" s="14" t="s">
        <v>29</v>
      </c>
      <c r="K2265" s="15" t="s">
        <v>30</v>
      </c>
      <c r="L2265" s="57"/>
      <c r="M2265" s="14" t="s">
        <v>56</v>
      </c>
      <c r="N2265" s="14" t="s">
        <v>91</v>
      </c>
      <c r="O2265" s="14"/>
      <c r="P2265" s="15" t="s">
        <v>113</v>
      </c>
      <c r="Q2265" s="16">
        <v>8199</v>
      </c>
      <c r="R2265" s="17">
        <v>40</v>
      </c>
      <c r="S2265" s="18">
        <v>5657.3099999999995</v>
      </c>
      <c r="T2265" s="19" t="s">
        <v>36</v>
      </c>
      <c r="U2265" s="20" t="s">
        <v>37</v>
      </c>
      <c r="V2265" s="21" t="s">
        <v>38</v>
      </c>
      <c r="W2265" s="22">
        <v>2</v>
      </c>
      <c r="X2265" s="23"/>
    </row>
    <row r="2266" spans="1:24" s="1" customFormat="1" ht="21" customHeight="1" x14ac:dyDescent="0.3">
      <c r="A2266" s="24" t="s">
        <v>23</v>
      </c>
      <c r="B2266" s="24" t="s">
        <v>2260</v>
      </c>
      <c r="C2266" s="27" t="s">
        <v>2578</v>
      </c>
      <c r="D2266" s="54"/>
      <c r="E2266" s="39" t="str">
        <f>HYPERLINK("https://www.google.ru/search?q=1379758-410&amp;newwindow=1&amp;tbm=isch","Еще фото")</f>
        <v>Еще фото</v>
      </c>
      <c r="F2266" s="13"/>
      <c r="G2266" s="24" t="s">
        <v>2198</v>
      </c>
      <c r="H2266" s="24" t="s">
        <v>27</v>
      </c>
      <c r="I2266" s="24" t="s">
        <v>2190</v>
      </c>
      <c r="J2266" s="14" t="s">
        <v>29</v>
      </c>
      <c r="K2266" s="15" t="s">
        <v>30</v>
      </c>
      <c r="L2266" s="57"/>
      <c r="M2266" s="14" t="s">
        <v>56</v>
      </c>
      <c r="N2266" s="14" t="s">
        <v>91</v>
      </c>
      <c r="O2266" s="14"/>
      <c r="P2266" s="15" t="s">
        <v>113</v>
      </c>
      <c r="Q2266" s="16">
        <v>8199</v>
      </c>
      <c r="R2266" s="17">
        <v>40</v>
      </c>
      <c r="S2266" s="18">
        <v>5657.3099999999995</v>
      </c>
      <c r="T2266" s="19" t="s">
        <v>36</v>
      </c>
      <c r="U2266" s="20" t="s">
        <v>39</v>
      </c>
      <c r="V2266" s="21" t="s">
        <v>40</v>
      </c>
      <c r="W2266" s="22">
        <v>8</v>
      </c>
      <c r="X2266" s="23"/>
    </row>
    <row r="2267" spans="1:24" s="1" customFormat="1" ht="21" customHeight="1" x14ac:dyDescent="0.3">
      <c r="A2267" s="24" t="s">
        <v>23</v>
      </c>
      <c r="B2267" s="24" t="s">
        <v>2260</v>
      </c>
      <c r="C2267" s="27" t="s">
        <v>2578</v>
      </c>
      <c r="D2267" s="54"/>
      <c r="E2267" s="39" t="str">
        <f>HYPERLINK("https://www.google.ru/search?q=1379758-410&amp;newwindow=1&amp;tbm=isch","Еще фото")</f>
        <v>Еще фото</v>
      </c>
      <c r="F2267" s="13"/>
      <c r="G2267" s="24" t="s">
        <v>2198</v>
      </c>
      <c r="H2267" s="24" t="s">
        <v>27</v>
      </c>
      <c r="I2267" s="24" t="s">
        <v>2190</v>
      </c>
      <c r="J2267" s="14" t="s">
        <v>29</v>
      </c>
      <c r="K2267" s="15" t="s">
        <v>30</v>
      </c>
      <c r="L2267" s="57"/>
      <c r="M2267" s="14" t="s">
        <v>56</v>
      </c>
      <c r="N2267" s="14" t="s">
        <v>91</v>
      </c>
      <c r="O2267" s="14"/>
      <c r="P2267" s="15" t="s">
        <v>113</v>
      </c>
      <c r="Q2267" s="16">
        <v>8199</v>
      </c>
      <c r="R2267" s="17">
        <v>40</v>
      </c>
      <c r="S2267" s="18">
        <v>5657.3099999999995</v>
      </c>
      <c r="T2267" s="19" t="s">
        <v>36</v>
      </c>
      <c r="U2267" s="20" t="s">
        <v>41</v>
      </c>
      <c r="V2267" s="21" t="s">
        <v>42</v>
      </c>
      <c r="W2267" s="22">
        <v>13</v>
      </c>
      <c r="X2267" s="23"/>
    </row>
    <row r="2268" spans="1:24" s="1" customFormat="1" ht="32.1" customHeight="1" x14ac:dyDescent="0.3">
      <c r="A2268" s="24" t="s">
        <v>23</v>
      </c>
      <c r="B2268" s="24" t="s">
        <v>2260</v>
      </c>
      <c r="C2268" s="27" t="s">
        <v>2578</v>
      </c>
      <c r="D2268" s="55"/>
      <c r="E2268" s="39" t="str">
        <f>HYPERLINK("https://www.google.ru/search?q=1379758-410&amp;newwindow=1&amp;tbm=isch","Еще фото")</f>
        <v>Еще фото</v>
      </c>
      <c r="F2268" s="13"/>
      <c r="G2268" s="24" t="s">
        <v>2198</v>
      </c>
      <c r="H2268" s="24" t="s">
        <v>27</v>
      </c>
      <c r="I2268" s="24" t="s">
        <v>2190</v>
      </c>
      <c r="J2268" s="14" t="s">
        <v>29</v>
      </c>
      <c r="K2268" s="15" t="s">
        <v>30</v>
      </c>
      <c r="L2268" s="58"/>
      <c r="M2268" s="14" t="s">
        <v>56</v>
      </c>
      <c r="N2268" s="14" t="s">
        <v>91</v>
      </c>
      <c r="O2268" s="14"/>
      <c r="P2268" s="15" t="s">
        <v>113</v>
      </c>
      <c r="Q2268" s="16">
        <v>8199</v>
      </c>
      <c r="R2268" s="17">
        <v>40</v>
      </c>
      <c r="S2268" s="18">
        <v>5657.3099999999995</v>
      </c>
      <c r="T2268" s="19" t="s">
        <v>36</v>
      </c>
      <c r="U2268" s="20" t="s">
        <v>43</v>
      </c>
      <c r="V2268" s="21" t="s">
        <v>44</v>
      </c>
      <c r="W2268" s="22">
        <v>1</v>
      </c>
      <c r="X2268" s="23"/>
    </row>
    <row r="2269" spans="1:24" s="1" customFormat="1" ht="35.1" customHeight="1" x14ac:dyDescent="0.3">
      <c r="A2269" s="11" t="s">
        <v>23</v>
      </c>
      <c r="B2269" s="11" t="s">
        <v>2260</v>
      </c>
      <c r="C2269" s="12" t="s">
        <v>2579</v>
      </c>
      <c r="D2269" s="53"/>
      <c r="E2269" s="39" t="str">
        <f>HYPERLINK("https://www.google.ru/search?q=1379758-426&amp;newwindow=1&amp;tbm=isch","Еще фото")</f>
        <v>Еще фото</v>
      </c>
      <c r="F2269" s="13"/>
      <c r="G2269" s="11" t="s">
        <v>2198</v>
      </c>
      <c r="H2269" s="11" t="s">
        <v>27</v>
      </c>
      <c r="I2269" s="14" t="s">
        <v>2190</v>
      </c>
      <c r="J2269" s="14" t="s">
        <v>29</v>
      </c>
      <c r="K2269" s="15" t="s">
        <v>30</v>
      </c>
      <c r="L2269" s="56" t="s">
        <v>2262</v>
      </c>
      <c r="M2269" s="14" t="s">
        <v>56</v>
      </c>
      <c r="N2269" s="14" t="s">
        <v>2086</v>
      </c>
      <c r="O2269" s="14"/>
      <c r="P2269" s="15" t="s">
        <v>113</v>
      </c>
      <c r="Q2269" s="16">
        <v>8199</v>
      </c>
      <c r="R2269" s="17">
        <v>40</v>
      </c>
      <c r="S2269" s="18">
        <v>5657.3099999999995</v>
      </c>
      <c r="T2269" s="19" t="s">
        <v>36</v>
      </c>
      <c r="U2269" s="20" t="s">
        <v>37</v>
      </c>
      <c r="V2269" s="21" t="s">
        <v>38</v>
      </c>
      <c r="W2269" s="22">
        <v>7</v>
      </c>
      <c r="X2269" s="23"/>
    </row>
    <row r="2270" spans="1:24" s="1" customFormat="1" ht="35.1" customHeight="1" x14ac:dyDescent="0.3">
      <c r="A2270" s="24" t="s">
        <v>23</v>
      </c>
      <c r="B2270" s="24" t="s">
        <v>2260</v>
      </c>
      <c r="C2270" s="12" t="s">
        <v>2579</v>
      </c>
      <c r="D2270" s="54"/>
      <c r="E2270" s="39" t="str">
        <f>HYPERLINK("https://www.google.ru/search?q=1379758-426&amp;newwindow=1&amp;tbm=isch","Еще фото")</f>
        <v>Еще фото</v>
      </c>
      <c r="F2270" s="13"/>
      <c r="G2270" s="24" t="s">
        <v>2198</v>
      </c>
      <c r="H2270" s="24" t="s">
        <v>27</v>
      </c>
      <c r="I2270" s="24" t="s">
        <v>2190</v>
      </c>
      <c r="J2270" s="14" t="s">
        <v>29</v>
      </c>
      <c r="K2270" s="15" t="s">
        <v>30</v>
      </c>
      <c r="L2270" s="57"/>
      <c r="M2270" s="14" t="s">
        <v>56</v>
      </c>
      <c r="N2270" s="14" t="s">
        <v>2086</v>
      </c>
      <c r="O2270" s="14"/>
      <c r="P2270" s="15" t="s">
        <v>113</v>
      </c>
      <c r="Q2270" s="16">
        <v>8199</v>
      </c>
      <c r="R2270" s="17">
        <v>40</v>
      </c>
      <c r="S2270" s="18">
        <v>5657.3099999999995</v>
      </c>
      <c r="T2270" s="19" t="s">
        <v>36</v>
      </c>
      <c r="U2270" s="20" t="s">
        <v>39</v>
      </c>
      <c r="V2270" s="21" t="s">
        <v>40</v>
      </c>
      <c r="W2270" s="22">
        <v>7</v>
      </c>
      <c r="X2270" s="23"/>
    </row>
    <row r="2271" spans="1:24" s="1" customFormat="1" ht="36.950000000000003" customHeight="1" x14ac:dyDescent="0.3">
      <c r="A2271" s="24" t="s">
        <v>23</v>
      </c>
      <c r="B2271" s="24" t="s">
        <v>2260</v>
      </c>
      <c r="C2271" s="12" t="s">
        <v>2579</v>
      </c>
      <c r="D2271" s="55"/>
      <c r="E2271" s="39" t="str">
        <f>HYPERLINK("https://www.google.ru/search?q=1379758-426&amp;newwindow=1&amp;tbm=isch","Еще фото")</f>
        <v>Еще фото</v>
      </c>
      <c r="F2271" s="13"/>
      <c r="G2271" s="24" t="s">
        <v>2198</v>
      </c>
      <c r="H2271" s="24" t="s">
        <v>27</v>
      </c>
      <c r="I2271" s="24" t="s">
        <v>2190</v>
      </c>
      <c r="J2271" s="14" t="s">
        <v>29</v>
      </c>
      <c r="K2271" s="15" t="s">
        <v>30</v>
      </c>
      <c r="L2271" s="58"/>
      <c r="M2271" s="14" t="s">
        <v>56</v>
      </c>
      <c r="N2271" s="14" t="s">
        <v>2086</v>
      </c>
      <c r="O2271" s="14"/>
      <c r="P2271" s="15" t="s">
        <v>113</v>
      </c>
      <c r="Q2271" s="16">
        <v>8199</v>
      </c>
      <c r="R2271" s="17">
        <v>40</v>
      </c>
      <c r="S2271" s="18">
        <v>5657.3099999999995</v>
      </c>
      <c r="T2271" s="19" t="s">
        <v>36</v>
      </c>
      <c r="U2271" s="20" t="s">
        <v>41</v>
      </c>
      <c r="V2271" s="21" t="s">
        <v>42</v>
      </c>
      <c r="W2271" s="22">
        <v>10</v>
      </c>
      <c r="X2271" s="23"/>
    </row>
    <row r="2272" spans="1:24" s="1" customFormat="1" ht="26.1" customHeight="1" x14ac:dyDescent="0.3">
      <c r="A2272" s="11" t="s">
        <v>23</v>
      </c>
      <c r="B2272" s="11" t="s">
        <v>2355</v>
      </c>
      <c r="C2272" s="12" t="s">
        <v>2580</v>
      </c>
      <c r="D2272" s="53"/>
      <c r="E2272" s="39" t="str">
        <f>HYPERLINK("https://www.google.ru/search?q=1379767-390&amp;newwindow=1&amp;tbm=isch","Еще фото")</f>
        <v>Еще фото</v>
      </c>
      <c r="F2272" s="13"/>
      <c r="G2272" s="11" t="s">
        <v>2198</v>
      </c>
      <c r="H2272" s="11" t="s">
        <v>27</v>
      </c>
      <c r="I2272" s="14" t="s">
        <v>2190</v>
      </c>
      <c r="J2272" s="14" t="s">
        <v>29</v>
      </c>
      <c r="K2272" s="15" t="s">
        <v>30</v>
      </c>
      <c r="L2272" s="56" t="s">
        <v>2581</v>
      </c>
      <c r="M2272" s="14" t="s">
        <v>56</v>
      </c>
      <c r="N2272" s="14" t="s">
        <v>125</v>
      </c>
      <c r="O2272" s="14"/>
      <c r="P2272" s="15" t="s">
        <v>113</v>
      </c>
      <c r="Q2272" s="16">
        <v>8499</v>
      </c>
      <c r="R2272" s="17">
        <v>40</v>
      </c>
      <c r="S2272" s="18">
        <v>5864.3099999999995</v>
      </c>
      <c r="T2272" s="19" t="s">
        <v>36</v>
      </c>
      <c r="U2272" s="20" t="s">
        <v>37</v>
      </c>
      <c r="V2272" s="21" t="s">
        <v>38</v>
      </c>
      <c r="W2272" s="22">
        <v>10</v>
      </c>
      <c r="X2272" s="23"/>
    </row>
    <row r="2273" spans="1:24" s="1" customFormat="1" ht="26.1" customHeight="1" x14ac:dyDescent="0.3">
      <c r="A2273" s="24" t="s">
        <v>23</v>
      </c>
      <c r="B2273" s="24" t="s">
        <v>2355</v>
      </c>
      <c r="C2273" s="12" t="s">
        <v>2580</v>
      </c>
      <c r="D2273" s="54"/>
      <c r="E2273" s="39" t="str">
        <f>HYPERLINK("https://www.google.ru/search?q=1379767-390&amp;newwindow=1&amp;tbm=isch","Еще фото")</f>
        <v>Еще фото</v>
      </c>
      <c r="F2273" s="13"/>
      <c r="G2273" s="24" t="s">
        <v>2198</v>
      </c>
      <c r="H2273" s="24" t="s">
        <v>27</v>
      </c>
      <c r="I2273" s="24" t="s">
        <v>2190</v>
      </c>
      <c r="J2273" s="14" t="s">
        <v>29</v>
      </c>
      <c r="K2273" s="15" t="s">
        <v>30</v>
      </c>
      <c r="L2273" s="57"/>
      <c r="M2273" s="14" t="s">
        <v>56</v>
      </c>
      <c r="N2273" s="14" t="s">
        <v>125</v>
      </c>
      <c r="O2273" s="14"/>
      <c r="P2273" s="15" t="s">
        <v>113</v>
      </c>
      <c r="Q2273" s="16">
        <v>8499</v>
      </c>
      <c r="R2273" s="17">
        <v>40</v>
      </c>
      <c r="S2273" s="18">
        <v>5864.3099999999995</v>
      </c>
      <c r="T2273" s="19" t="s">
        <v>36</v>
      </c>
      <c r="U2273" s="20" t="s">
        <v>39</v>
      </c>
      <c r="V2273" s="21" t="s">
        <v>40</v>
      </c>
      <c r="W2273" s="22">
        <v>15</v>
      </c>
      <c r="X2273" s="23"/>
    </row>
    <row r="2274" spans="1:24" s="1" customFormat="1" ht="26.1" customHeight="1" x14ac:dyDescent="0.3">
      <c r="A2274" s="24" t="s">
        <v>23</v>
      </c>
      <c r="B2274" s="24" t="s">
        <v>2355</v>
      </c>
      <c r="C2274" s="12" t="s">
        <v>2580</v>
      </c>
      <c r="D2274" s="54"/>
      <c r="E2274" s="39" t="str">
        <f>HYPERLINK("https://www.google.ru/search?q=1379767-390&amp;newwindow=1&amp;tbm=isch","Еще фото")</f>
        <v>Еще фото</v>
      </c>
      <c r="F2274" s="13"/>
      <c r="G2274" s="24" t="s">
        <v>2198</v>
      </c>
      <c r="H2274" s="24" t="s">
        <v>27</v>
      </c>
      <c r="I2274" s="24" t="s">
        <v>2190</v>
      </c>
      <c r="J2274" s="14" t="s">
        <v>29</v>
      </c>
      <c r="K2274" s="15" t="s">
        <v>30</v>
      </c>
      <c r="L2274" s="57"/>
      <c r="M2274" s="14" t="s">
        <v>56</v>
      </c>
      <c r="N2274" s="14" t="s">
        <v>125</v>
      </c>
      <c r="O2274" s="14"/>
      <c r="P2274" s="15" t="s">
        <v>113</v>
      </c>
      <c r="Q2274" s="16">
        <v>8499</v>
      </c>
      <c r="R2274" s="17">
        <v>40</v>
      </c>
      <c r="S2274" s="18">
        <v>5864.3099999999995</v>
      </c>
      <c r="T2274" s="19" t="s">
        <v>36</v>
      </c>
      <c r="U2274" s="20" t="s">
        <v>41</v>
      </c>
      <c r="V2274" s="21" t="s">
        <v>42</v>
      </c>
      <c r="W2274" s="22">
        <v>2</v>
      </c>
      <c r="X2274" s="23"/>
    </row>
    <row r="2275" spans="1:24" s="1" customFormat="1" ht="26.1" customHeight="1" x14ac:dyDescent="0.3">
      <c r="A2275" s="24" t="s">
        <v>23</v>
      </c>
      <c r="B2275" s="24" t="s">
        <v>2355</v>
      </c>
      <c r="C2275" s="12" t="s">
        <v>2580</v>
      </c>
      <c r="D2275" s="55"/>
      <c r="E2275" s="39" t="str">
        <f>HYPERLINK("https://www.google.ru/search?q=1379767-390&amp;newwindow=1&amp;tbm=isch","Еще фото")</f>
        <v>Еще фото</v>
      </c>
      <c r="F2275" s="13"/>
      <c r="G2275" s="24" t="s">
        <v>2198</v>
      </c>
      <c r="H2275" s="24" t="s">
        <v>27</v>
      </c>
      <c r="I2275" s="24" t="s">
        <v>2190</v>
      </c>
      <c r="J2275" s="14" t="s">
        <v>29</v>
      </c>
      <c r="K2275" s="15" t="s">
        <v>30</v>
      </c>
      <c r="L2275" s="58"/>
      <c r="M2275" s="14" t="s">
        <v>56</v>
      </c>
      <c r="N2275" s="14" t="s">
        <v>125</v>
      </c>
      <c r="O2275" s="14"/>
      <c r="P2275" s="15" t="s">
        <v>113</v>
      </c>
      <c r="Q2275" s="16">
        <v>8499</v>
      </c>
      <c r="R2275" s="17">
        <v>40</v>
      </c>
      <c r="S2275" s="18">
        <v>5864.3099999999995</v>
      </c>
      <c r="T2275" s="19" t="s">
        <v>36</v>
      </c>
      <c r="U2275" s="20" t="s">
        <v>43</v>
      </c>
      <c r="V2275" s="21" t="s">
        <v>44</v>
      </c>
      <c r="W2275" s="22">
        <v>1</v>
      </c>
      <c r="X2275" s="23"/>
    </row>
    <row r="2276" spans="1:24" s="1" customFormat="1" ht="35.1" customHeight="1" x14ac:dyDescent="0.3">
      <c r="A2276" s="11" t="s">
        <v>23</v>
      </c>
      <c r="B2276" s="11" t="s">
        <v>2355</v>
      </c>
      <c r="C2276" s="12" t="s">
        <v>2582</v>
      </c>
      <c r="D2276" s="53"/>
      <c r="E2276" s="39" t="str">
        <f>HYPERLINK("https://www.google.ru/search?q=1379767-410&amp;newwindow=1&amp;tbm=isch","Еще фото")</f>
        <v>Еще фото</v>
      </c>
      <c r="F2276" s="13"/>
      <c r="G2276" s="11" t="s">
        <v>2198</v>
      </c>
      <c r="H2276" s="11" t="s">
        <v>27</v>
      </c>
      <c r="I2276" s="14" t="s">
        <v>2190</v>
      </c>
      <c r="J2276" s="14" t="s">
        <v>29</v>
      </c>
      <c r="K2276" s="15" t="s">
        <v>30</v>
      </c>
      <c r="L2276" s="56" t="s">
        <v>2581</v>
      </c>
      <c r="M2276" s="14" t="s">
        <v>56</v>
      </c>
      <c r="N2276" s="14" t="s">
        <v>91</v>
      </c>
      <c r="O2276" s="14"/>
      <c r="P2276" s="15" t="s">
        <v>2583</v>
      </c>
      <c r="Q2276" s="16">
        <v>8699</v>
      </c>
      <c r="R2276" s="17">
        <v>40</v>
      </c>
      <c r="S2276" s="18">
        <v>6002.3099999999995</v>
      </c>
      <c r="T2276" s="19" t="s">
        <v>36</v>
      </c>
      <c r="U2276" s="20" t="s">
        <v>37</v>
      </c>
      <c r="V2276" s="21" t="s">
        <v>38</v>
      </c>
      <c r="W2276" s="22">
        <v>3</v>
      </c>
      <c r="X2276" s="23"/>
    </row>
    <row r="2277" spans="1:24" s="1" customFormat="1" ht="35.1" customHeight="1" x14ac:dyDescent="0.3">
      <c r="A2277" s="24" t="s">
        <v>23</v>
      </c>
      <c r="B2277" s="24" t="s">
        <v>2355</v>
      </c>
      <c r="C2277" s="12" t="s">
        <v>2582</v>
      </c>
      <c r="D2277" s="54"/>
      <c r="E2277" s="39" t="str">
        <f>HYPERLINK("https://www.google.ru/search?q=1379767-410&amp;newwindow=1&amp;tbm=isch","Еще фото")</f>
        <v>Еще фото</v>
      </c>
      <c r="F2277" s="13"/>
      <c r="G2277" s="24" t="s">
        <v>2198</v>
      </c>
      <c r="H2277" s="24" t="s">
        <v>27</v>
      </c>
      <c r="I2277" s="24" t="s">
        <v>2190</v>
      </c>
      <c r="J2277" s="14" t="s">
        <v>29</v>
      </c>
      <c r="K2277" s="15" t="s">
        <v>30</v>
      </c>
      <c r="L2277" s="57"/>
      <c r="M2277" s="14" t="s">
        <v>56</v>
      </c>
      <c r="N2277" s="14" t="s">
        <v>91</v>
      </c>
      <c r="O2277" s="14"/>
      <c r="P2277" s="15" t="s">
        <v>2583</v>
      </c>
      <c r="Q2277" s="16">
        <v>8699</v>
      </c>
      <c r="R2277" s="17">
        <v>40</v>
      </c>
      <c r="S2277" s="18">
        <v>6002.3099999999995</v>
      </c>
      <c r="T2277" s="19" t="s">
        <v>36</v>
      </c>
      <c r="U2277" s="20" t="s">
        <v>39</v>
      </c>
      <c r="V2277" s="21" t="s">
        <v>40</v>
      </c>
      <c r="W2277" s="22">
        <v>1</v>
      </c>
      <c r="X2277" s="23"/>
    </row>
    <row r="2278" spans="1:24" s="1" customFormat="1" ht="36.950000000000003" customHeight="1" x14ac:dyDescent="0.3">
      <c r="A2278" s="24" t="s">
        <v>23</v>
      </c>
      <c r="B2278" s="24" t="s">
        <v>2355</v>
      </c>
      <c r="C2278" s="12" t="s">
        <v>2582</v>
      </c>
      <c r="D2278" s="55"/>
      <c r="E2278" s="39" t="str">
        <f>HYPERLINK("https://www.google.ru/search?q=1379767-410&amp;newwindow=1&amp;tbm=isch","Еще фото")</f>
        <v>Еще фото</v>
      </c>
      <c r="F2278" s="13"/>
      <c r="G2278" s="24" t="s">
        <v>2198</v>
      </c>
      <c r="H2278" s="24" t="s">
        <v>27</v>
      </c>
      <c r="I2278" s="24" t="s">
        <v>2190</v>
      </c>
      <c r="J2278" s="14" t="s">
        <v>29</v>
      </c>
      <c r="K2278" s="15" t="s">
        <v>30</v>
      </c>
      <c r="L2278" s="58"/>
      <c r="M2278" s="14" t="s">
        <v>56</v>
      </c>
      <c r="N2278" s="14" t="s">
        <v>91</v>
      </c>
      <c r="O2278" s="14"/>
      <c r="P2278" s="15" t="s">
        <v>2583</v>
      </c>
      <c r="Q2278" s="16">
        <v>8699</v>
      </c>
      <c r="R2278" s="17">
        <v>40</v>
      </c>
      <c r="S2278" s="18">
        <v>6002.3099999999995</v>
      </c>
      <c r="T2278" s="19" t="s">
        <v>36</v>
      </c>
      <c r="U2278" s="20" t="s">
        <v>41</v>
      </c>
      <c r="V2278" s="21" t="s">
        <v>42</v>
      </c>
      <c r="W2278" s="22">
        <v>7</v>
      </c>
      <c r="X2278" s="23"/>
    </row>
    <row r="2279" spans="1:24" s="1" customFormat="1" ht="21" customHeight="1" x14ac:dyDescent="0.3">
      <c r="A2279" s="11" t="s">
        <v>23</v>
      </c>
      <c r="B2279" s="11" t="s">
        <v>2584</v>
      </c>
      <c r="C2279" s="26" t="s">
        <v>2585</v>
      </c>
      <c r="D2279" s="53"/>
      <c r="E2279" s="39" t="str">
        <f>HYPERLINK("https://www.google.ru/search?q=1379842-001&amp;newwindow=1&amp;tbm=isch","Еще фото")</f>
        <v>Еще фото</v>
      </c>
      <c r="F2279" s="13" t="s">
        <v>98</v>
      </c>
      <c r="G2279" s="11" t="s">
        <v>2198</v>
      </c>
      <c r="H2279" s="11" t="s">
        <v>27</v>
      </c>
      <c r="I2279" s="14" t="s">
        <v>2190</v>
      </c>
      <c r="J2279" s="14" t="s">
        <v>29</v>
      </c>
      <c r="K2279" s="15" t="s">
        <v>64</v>
      </c>
      <c r="L2279" s="56" t="s">
        <v>2586</v>
      </c>
      <c r="M2279" s="14"/>
      <c r="N2279" s="14" t="s">
        <v>33</v>
      </c>
      <c r="O2279" s="14"/>
      <c r="P2279" s="15" t="s">
        <v>152</v>
      </c>
      <c r="Q2279" s="16">
        <v>11799</v>
      </c>
      <c r="R2279" s="17">
        <v>40</v>
      </c>
      <c r="S2279" s="18">
        <v>8141.3099999999986</v>
      </c>
      <c r="T2279" s="19" t="s">
        <v>36</v>
      </c>
      <c r="U2279" s="20" t="s">
        <v>69</v>
      </c>
      <c r="V2279" s="21" t="s">
        <v>70</v>
      </c>
      <c r="W2279" s="22">
        <v>18</v>
      </c>
      <c r="X2279" s="23"/>
    </row>
    <row r="2280" spans="1:24" s="1" customFormat="1" ht="21" customHeight="1" x14ac:dyDescent="0.3">
      <c r="A2280" s="24" t="s">
        <v>23</v>
      </c>
      <c r="B2280" s="24" t="s">
        <v>2584</v>
      </c>
      <c r="C2280" s="27" t="s">
        <v>2585</v>
      </c>
      <c r="D2280" s="54"/>
      <c r="E2280" s="39" t="str">
        <f>HYPERLINK("https://www.google.ru/search?q=1379842-001&amp;newwindow=1&amp;tbm=isch","Еще фото")</f>
        <v>Еще фото</v>
      </c>
      <c r="F2280" s="13" t="s">
        <v>98</v>
      </c>
      <c r="G2280" s="24" t="s">
        <v>2198</v>
      </c>
      <c r="H2280" s="24" t="s">
        <v>27</v>
      </c>
      <c r="I2280" s="24" t="s">
        <v>2190</v>
      </c>
      <c r="J2280" s="14" t="s">
        <v>29</v>
      </c>
      <c r="K2280" s="15" t="s">
        <v>64</v>
      </c>
      <c r="L2280" s="57"/>
      <c r="M2280" s="14"/>
      <c r="N2280" s="14" t="s">
        <v>33</v>
      </c>
      <c r="O2280" s="14"/>
      <c r="P2280" s="15" t="s">
        <v>152</v>
      </c>
      <c r="Q2280" s="16">
        <v>11799</v>
      </c>
      <c r="R2280" s="17">
        <v>40</v>
      </c>
      <c r="S2280" s="18">
        <v>8141.3099999999986</v>
      </c>
      <c r="T2280" s="19" t="s">
        <v>36</v>
      </c>
      <c r="U2280" s="20" t="s">
        <v>37</v>
      </c>
      <c r="V2280" s="21" t="s">
        <v>86</v>
      </c>
      <c r="W2280" s="22">
        <v>1</v>
      </c>
      <c r="X2280" s="23"/>
    </row>
    <row r="2281" spans="1:24" s="1" customFormat="1" ht="21" customHeight="1" x14ac:dyDescent="0.3">
      <c r="A2281" s="24" t="s">
        <v>23</v>
      </c>
      <c r="B2281" s="24" t="s">
        <v>2584</v>
      </c>
      <c r="C2281" s="27" t="s">
        <v>2585</v>
      </c>
      <c r="D2281" s="54"/>
      <c r="E2281" s="39" t="str">
        <f>HYPERLINK("https://www.google.ru/search?q=1379842-001&amp;newwindow=1&amp;tbm=isch","Еще фото")</f>
        <v>Еще фото</v>
      </c>
      <c r="F2281" s="13" t="s">
        <v>98</v>
      </c>
      <c r="G2281" s="24" t="s">
        <v>2198</v>
      </c>
      <c r="H2281" s="24" t="s">
        <v>27</v>
      </c>
      <c r="I2281" s="24" t="s">
        <v>2190</v>
      </c>
      <c r="J2281" s="14" t="s">
        <v>29</v>
      </c>
      <c r="K2281" s="15" t="s">
        <v>64</v>
      </c>
      <c r="L2281" s="57"/>
      <c r="M2281" s="14"/>
      <c r="N2281" s="14" t="s">
        <v>33</v>
      </c>
      <c r="O2281" s="14"/>
      <c r="P2281" s="15" t="s">
        <v>152</v>
      </c>
      <c r="Q2281" s="16">
        <v>11799</v>
      </c>
      <c r="R2281" s="17">
        <v>40</v>
      </c>
      <c r="S2281" s="18">
        <v>8141.3099999999986</v>
      </c>
      <c r="T2281" s="19" t="s">
        <v>36</v>
      </c>
      <c r="U2281" s="20" t="s">
        <v>39</v>
      </c>
      <c r="V2281" s="21" t="s">
        <v>38</v>
      </c>
      <c r="W2281" s="22">
        <v>11</v>
      </c>
      <c r="X2281" s="23"/>
    </row>
    <row r="2282" spans="1:24" s="1" customFormat="1" ht="21" customHeight="1" x14ac:dyDescent="0.3">
      <c r="A2282" s="24" t="s">
        <v>23</v>
      </c>
      <c r="B2282" s="24" t="s">
        <v>2584</v>
      </c>
      <c r="C2282" s="27" t="s">
        <v>2585</v>
      </c>
      <c r="D2282" s="54"/>
      <c r="E2282" s="39" t="str">
        <f>HYPERLINK("https://www.google.ru/search?q=1379842-001&amp;newwindow=1&amp;tbm=isch","Еще фото")</f>
        <v>Еще фото</v>
      </c>
      <c r="F2282" s="13" t="s">
        <v>98</v>
      </c>
      <c r="G2282" s="24" t="s">
        <v>2198</v>
      </c>
      <c r="H2282" s="24" t="s">
        <v>27</v>
      </c>
      <c r="I2282" s="24" t="s">
        <v>2190</v>
      </c>
      <c r="J2282" s="14" t="s">
        <v>29</v>
      </c>
      <c r="K2282" s="15" t="s">
        <v>64</v>
      </c>
      <c r="L2282" s="57"/>
      <c r="M2282" s="14"/>
      <c r="N2282" s="14" t="s">
        <v>33</v>
      </c>
      <c r="O2282" s="14"/>
      <c r="P2282" s="15" t="s">
        <v>152</v>
      </c>
      <c r="Q2282" s="16">
        <v>11799</v>
      </c>
      <c r="R2282" s="17">
        <v>40</v>
      </c>
      <c r="S2282" s="18">
        <v>8141.3099999999986</v>
      </c>
      <c r="T2282" s="19" t="s">
        <v>36</v>
      </c>
      <c r="U2282" s="20" t="s">
        <v>41</v>
      </c>
      <c r="V2282" s="21" t="s">
        <v>40</v>
      </c>
      <c r="W2282" s="22">
        <v>9</v>
      </c>
      <c r="X2282" s="23"/>
    </row>
    <row r="2283" spans="1:24" s="1" customFormat="1" ht="32.1" customHeight="1" x14ac:dyDescent="0.3">
      <c r="A2283" s="24" t="s">
        <v>23</v>
      </c>
      <c r="B2283" s="24" t="s">
        <v>2584</v>
      </c>
      <c r="C2283" s="27" t="s">
        <v>2585</v>
      </c>
      <c r="D2283" s="55"/>
      <c r="E2283" s="39" t="str">
        <f>HYPERLINK("https://www.google.ru/search?q=1379842-001&amp;newwindow=1&amp;tbm=isch","Еще фото")</f>
        <v>Еще фото</v>
      </c>
      <c r="F2283" s="13" t="s">
        <v>98</v>
      </c>
      <c r="G2283" s="24" t="s">
        <v>2198</v>
      </c>
      <c r="H2283" s="24" t="s">
        <v>27</v>
      </c>
      <c r="I2283" s="24" t="s">
        <v>2190</v>
      </c>
      <c r="J2283" s="14" t="s">
        <v>29</v>
      </c>
      <c r="K2283" s="15" t="s">
        <v>64</v>
      </c>
      <c r="L2283" s="58"/>
      <c r="M2283" s="14"/>
      <c r="N2283" s="14" t="s">
        <v>33</v>
      </c>
      <c r="O2283" s="14"/>
      <c r="P2283" s="15" t="s">
        <v>152</v>
      </c>
      <c r="Q2283" s="16">
        <v>11799</v>
      </c>
      <c r="R2283" s="17">
        <v>40</v>
      </c>
      <c r="S2283" s="18">
        <v>8141.3099999999986</v>
      </c>
      <c r="T2283" s="19" t="s">
        <v>36</v>
      </c>
      <c r="U2283" s="20" t="s">
        <v>43</v>
      </c>
      <c r="V2283" s="21" t="s">
        <v>42</v>
      </c>
      <c r="W2283" s="22">
        <v>1</v>
      </c>
      <c r="X2283" s="23"/>
    </row>
    <row r="2284" spans="1:24" s="1" customFormat="1" ht="51.95" customHeight="1" x14ac:dyDescent="0.3">
      <c r="A2284" s="11" t="s">
        <v>23</v>
      </c>
      <c r="B2284" s="11" t="s">
        <v>2587</v>
      </c>
      <c r="C2284" s="12" t="s">
        <v>2588</v>
      </c>
      <c r="D2284" s="59"/>
      <c r="E2284" s="39" t="str">
        <f>HYPERLINK("https://www.google.ru/search?q=1379842-348&amp;newwindow=1&amp;tbm=isch","Еще фото")</f>
        <v>Еще фото</v>
      </c>
      <c r="F2284" s="13"/>
      <c r="G2284" s="11" t="s">
        <v>2198</v>
      </c>
      <c r="H2284" s="11" t="s">
        <v>27</v>
      </c>
      <c r="I2284" s="14" t="s">
        <v>2190</v>
      </c>
      <c r="J2284" s="14" t="s">
        <v>47</v>
      </c>
      <c r="K2284" s="15" t="s">
        <v>64</v>
      </c>
      <c r="L2284" s="56" t="s">
        <v>2586</v>
      </c>
      <c r="M2284" s="14"/>
      <c r="N2284" s="14" t="s">
        <v>125</v>
      </c>
      <c r="O2284" s="14"/>
      <c r="P2284" s="15" t="s">
        <v>152</v>
      </c>
      <c r="Q2284" s="16">
        <v>13299</v>
      </c>
      <c r="R2284" s="17">
        <v>40</v>
      </c>
      <c r="S2284" s="18">
        <v>9176.31</v>
      </c>
      <c r="T2284" s="19" t="s">
        <v>36</v>
      </c>
      <c r="U2284" s="20" t="s">
        <v>69</v>
      </c>
      <c r="V2284" s="21" t="s">
        <v>70</v>
      </c>
      <c r="W2284" s="22">
        <v>3</v>
      </c>
      <c r="X2284" s="23"/>
    </row>
    <row r="2285" spans="1:24" s="1" customFormat="1" ht="60.95" customHeight="1" x14ac:dyDescent="0.3">
      <c r="A2285" s="24" t="s">
        <v>23</v>
      </c>
      <c r="B2285" s="24" t="s">
        <v>2587</v>
      </c>
      <c r="C2285" s="12" t="s">
        <v>2588</v>
      </c>
      <c r="D2285" s="60"/>
      <c r="E2285" s="39" t="str">
        <f>HYPERLINK("https://www.google.ru/search?q=1379842-348&amp;newwindow=1&amp;tbm=isch","Еще фото")</f>
        <v>Еще фото</v>
      </c>
      <c r="F2285" s="13"/>
      <c r="G2285" s="24" t="s">
        <v>2198</v>
      </c>
      <c r="H2285" s="24" t="s">
        <v>27</v>
      </c>
      <c r="I2285" s="24" t="s">
        <v>2190</v>
      </c>
      <c r="J2285" s="14" t="s">
        <v>47</v>
      </c>
      <c r="K2285" s="15" t="s">
        <v>64</v>
      </c>
      <c r="L2285" s="58"/>
      <c r="M2285" s="14"/>
      <c r="N2285" s="14" t="s">
        <v>125</v>
      </c>
      <c r="O2285" s="14"/>
      <c r="P2285" s="15" t="s">
        <v>152</v>
      </c>
      <c r="Q2285" s="16">
        <v>13299</v>
      </c>
      <c r="R2285" s="17">
        <v>40</v>
      </c>
      <c r="S2285" s="18">
        <v>9176.31</v>
      </c>
      <c r="T2285" s="19" t="s">
        <v>36</v>
      </c>
      <c r="U2285" s="20" t="s">
        <v>43</v>
      </c>
      <c r="V2285" s="21" t="s">
        <v>42</v>
      </c>
      <c r="W2285" s="22">
        <v>1</v>
      </c>
      <c r="X2285" s="23"/>
    </row>
    <row r="2286" spans="1:24" s="1" customFormat="1" ht="21" customHeight="1" x14ac:dyDescent="0.3">
      <c r="A2286" s="11" t="s">
        <v>23</v>
      </c>
      <c r="B2286" s="11" t="s">
        <v>2589</v>
      </c>
      <c r="C2286" s="26" t="s">
        <v>2590</v>
      </c>
      <c r="D2286" s="53"/>
      <c r="E2286" s="39" t="str">
        <f>HYPERLINK("https://www.google.ru/search?q=1381688-001&amp;newwindow=1&amp;tbm=isch","Еще фото")</f>
        <v>Еще фото</v>
      </c>
      <c r="F2286" s="13"/>
      <c r="G2286" s="11" t="s">
        <v>2189</v>
      </c>
      <c r="H2286" s="11" t="s">
        <v>27</v>
      </c>
      <c r="I2286" s="14" t="s">
        <v>2190</v>
      </c>
      <c r="J2286" s="14" t="s">
        <v>29</v>
      </c>
      <c r="K2286" s="15" t="s">
        <v>30</v>
      </c>
      <c r="L2286" s="56" t="s">
        <v>2591</v>
      </c>
      <c r="M2286" s="14"/>
      <c r="N2286" s="14" t="s">
        <v>33</v>
      </c>
      <c r="O2286" s="14"/>
      <c r="P2286" s="15" t="s">
        <v>2592</v>
      </c>
      <c r="Q2286" s="16">
        <v>12199</v>
      </c>
      <c r="R2286" s="17">
        <v>40</v>
      </c>
      <c r="S2286" s="18">
        <v>8417.31</v>
      </c>
      <c r="T2286" s="19" t="s">
        <v>36</v>
      </c>
      <c r="U2286" s="20" t="s">
        <v>37</v>
      </c>
      <c r="V2286" s="21" t="s">
        <v>38</v>
      </c>
      <c r="W2286" s="22">
        <v>13</v>
      </c>
      <c r="X2286" s="23"/>
    </row>
    <row r="2287" spans="1:24" s="1" customFormat="1" ht="21" customHeight="1" x14ac:dyDescent="0.3">
      <c r="A2287" s="24" t="s">
        <v>23</v>
      </c>
      <c r="B2287" s="24" t="s">
        <v>2589</v>
      </c>
      <c r="C2287" s="27" t="s">
        <v>2590</v>
      </c>
      <c r="D2287" s="54"/>
      <c r="E2287" s="39" t="str">
        <f>HYPERLINK("https://www.google.ru/search?q=1381688-001&amp;newwindow=1&amp;tbm=isch","Еще фото")</f>
        <v>Еще фото</v>
      </c>
      <c r="F2287" s="13"/>
      <c r="G2287" s="24" t="s">
        <v>2189</v>
      </c>
      <c r="H2287" s="24" t="s">
        <v>27</v>
      </c>
      <c r="I2287" s="24" t="s">
        <v>2190</v>
      </c>
      <c r="J2287" s="14" t="s">
        <v>29</v>
      </c>
      <c r="K2287" s="15" t="s">
        <v>30</v>
      </c>
      <c r="L2287" s="57"/>
      <c r="M2287" s="14"/>
      <c r="N2287" s="14" t="s">
        <v>33</v>
      </c>
      <c r="O2287" s="14"/>
      <c r="P2287" s="15" t="s">
        <v>2592</v>
      </c>
      <c r="Q2287" s="16">
        <v>12199</v>
      </c>
      <c r="R2287" s="17">
        <v>40</v>
      </c>
      <c r="S2287" s="18">
        <v>8417.31</v>
      </c>
      <c r="T2287" s="19" t="s">
        <v>36</v>
      </c>
      <c r="U2287" s="20" t="s">
        <v>39</v>
      </c>
      <c r="V2287" s="21" t="s">
        <v>40</v>
      </c>
      <c r="W2287" s="22">
        <v>21</v>
      </c>
      <c r="X2287" s="23"/>
    </row>
    <row r="2288" spans="1:24" s="1" customFormat="1" ht="21" customHeight="1" x14ac:dyDescent="0.3">
      <c r="A2288" s="24" t="s">
        <v>23</v>
      </c>
      <c r="B2288" s="24" t="s">
        <v>2589</v>
      </c>
      <c r="C2288" s="27" t="s">
        <v>2590</v>
      </c>
      <c r="D2288" s="54"/>
      <c r="E2288" s="39" t="str">
        <f>HYPERLINK("https://www.google.ru/search?q=1381688-001&amp;newwindow=1&amp;tbm=isch","Еще фото")</f>
        <v>Еще фото</v>
      </c>
      <c r="F2288" s="13"/>
      <c r="G2288" s="24" t="s">
        <v>2189</v>
      </c>
      <c r="H2288" s="24" t="s">
        <v>27</v>
      </c>
      <c r="I2288" s="24" t="s">
        <v>2190</v>
      </c>
      <c r="J2288" s="14" t="s">
        <v>29</v>
      </c>
      <c r="K2288" s="15" t="s">
        <v>30</v>
      </c>
      <c r="L2288" s="57"/>
      <c r="M2288" s="14"/>
      <c r="N2288" s="14" t="s">
        <v>33</v>
      </c>
      <c r="O2288" s="14"/>
      <c r="P2288" s="15" t="s">
        <v>2592</v>
      </c>
      <c r="Q2288" s="16">
        <v>12199</v>
      </c>
      <c r="R2288" s="17">
        <v>40</v>
      </c>
      <c r="S2288" s="18">
        <v>8417.31</v>
      </c>
      <c r="T2288" s="19" t="s">
        <v>36</v>
      </c>
      <c r="U2288" s="20" t="s">
        <v>41</v>
      </c>
      <c r="V2288" s="21" t="s">
        <v>42</v>
      </c>
      <c r="W2288" s="22">
        <v>24</v>
      </c>
      <c r="X2288" s="23"/>
    </row>
    <row r="2289" spans="1:24" s="1" customFormat="1" ht="21" customHeight="1" x14ac:dyDescent="0.3">
      <c r="A2289" s="24" t="s">
        <v>23</v>
      </c>
      <c r="B2289" s="24" t="s">
        <v>2589</v>
      </c>
      <c r="C2289" s="27" t="s">
        <v>2590</v>
      </c>
      <c r="D2289" s="54"/>
      <c r="E2289" s="39" t="str">
        <f>HYPERLINK("https://www.google.ru/search?q=1381688-001&amp;newwindow=1&amp;tbm=isch","Еще фото")</f>
        <v>Еще фото</v>
      </c>
      <c r="F2289" s="13"/>
      <c r="G2289" s="24" t="s">
        <v>2189</v>
      </c>
      <c r="H2289" s="24" t="s">
        <v>27</v>
      </c>
      <c r="I2289" s="24" t="s">
        <v>2190</v>
      </c>
      <c r="J2289" s="14" t="s">
        <v>29</v>
      </c>
      <c r="K2289" s="15" t="s">
        <v>30</v>
      </c>
      <c r="L2289" s="57"/>
      <c r="M2289" s="14"/>
      <c r="N2289" s="14" t="s">
        <v>33</v>
      </c>
      <c r="O2289" s="14"/>
      <c r="P2289" s="15" t="s">
        <v>2592</v>
      </c>
      <c r="Q2289" s="16">
        <v>12199</v>
      </c>
      <c r="R2289" s="17">
        <v>40</v>
      </c>
      <c r="S2289" s="18">
        <v>8417.31</v>
      </c>
      <c r="T2289" s="19" t="s">
        <v>36</v>
      </c>
      <c r="U2289" s="20" t="s">
        <v>43</v>
      </c>
      <c r="V2289" s="21" t="s">
        <v>44</v>
      </c>
      <c r="W2289" s="22">
        <v>8</v>
      </c>
      <c r="X2289" s="23"/>
    </row>
    <row r="2290" spans="1:24" s="1" customFormat="1" ht="32.1" customHeight="1" x14ac:dyDescent="0.3">
      <c r="A2290" s="24" t="s">
        <v>23</v>
      </c>
      <c r="B2290" s="24" t="s">
        <v>2589</v>
      </c>
      <c r="C2290" s="27" t="s">
        <v>2590</v>
      </c>
      <c r="D2290" s="55"/>
      <c r="E2290" s="39" t="str">
        <f>HYPERLINK("https://www.google.ru/search?q=1381688-001&amp;newwindow=1&amp;tbm=isch","Еще фото")</f>
        <v>Еще фото</v>
      </c>
      <c r="F2290" s="13"/>
      <c r="G2290" s="24" t="s">
        <v>2189</v>
      </c>
      <c r="H2290" s="24" t="s">
        <v>27</v>
      </c>
      <c r="I2290" s="24" t="s">
        <v>2190</v>
      </c>
      <c r="J2290" s="14" t="s">
        <v>29</v>
      </c>
      <c r="K2290" s="15" t="s">
        <v>30</v>
      </c>
      <c r="L2290" s="58"/>
      <c r="M2290" s="14"/>
      <c r="N2290" s="14" t="s">
        <v>33</v>
      </c>
      <c r="O2290" s="14"/>
      <c r="P2290" s="15" t="s">
        <v>2592</v>
      </c>
      <c r="Q2290" s="16">
        <v>12199</v>
      </c>
      <c r="R2290" s="17">
        <v>40</v>
      </c>
      <c r="S2290" s="18">
        <v>8417.31</v>
      </c>
      <c r="T2290" s="19" t="s">
        <v>36</v>
      </c>
      <c r="U2290" s="20" t="s">
        <v>104</v>
      </c>
      <c r="V2290" s="21" t="s">
        <v>105</v>
      </c>
      <c r="W2290" s="22">
        <v>7</v>
      </c>
      <c r="X2290" s="23"/>
    </row>
    <row r="2291" spans="1:24" s="1" customFormat="1" ht="17.100000000000001" customHeight="1" x14ac:dyDescent="0.3">
      <c r="A2291" s="11" t="s">
        <v>23</v>
      </c>
      <c r="B2291" s="11" t="s">
        <v>2589</v>
      </c>
      <c r="C2291" s="12" t="s">
        <v>2593</v>
      </c>
      <c r="D2291" s="53"/>
      <c r="E2291" s="39" t="str">
        <f t="shared" ref="E2291:E2296" si="53">HYPERLINK("https://www.google.ru/search?q=1381688-390&amp;newwindow=1&amp;tbm=isch","Еще фото")</f>
        <v>Еще фото</v>
      </c>
      <c r="F2291" s="13"/>
      <c r="G2291" s="11" t="s">
        <v>2189</v>
      </c>
      <c r="H2291" s="11" t="s">
        <v>27</v>
      </c>
      <c r="I2291" s="14" t="s">
        <v>2190</v>
      </c>
      <c r="J2291" s="14" t="s">
        <v>29</v>
      </c>
      <c r="K2291" s="15" t="s">
        <v>30</v>
      </c>
      <c r="L2291" s="56" t="s">
        <v>2591</v>
      </c>
      <c r="M2291" s="14"/>
      <c r="N2291" s="14" t="s">
        <v>640</v>
      </c>
      <c r="O2291" s="14"/>
      <c r="P2291" s="15" t="s">
        <v>152</v>
      </c>
      <c r="Q2291" s="16">
        <v>13999</v>
      </c>
      <c r="R2291" s="17">
        <v>40</v>
      </c>
      <c r="S2291" s="18">
        <v>9659.31</v>
      </c>
      <c r="T2291" s="19" t="s">
        <v>36</v>
      </c>
      <c r="U2291" s="20" t="s">
        <v>69</v>
      </c>
      <c r="V2291" s="21" t="s">
        <v>75</v>
      </c>
      <c r="W2291" s="22">
        <v>1</v>
      </c>
      <c r="X2291" s="23"/>
    </row>
    <row r="2292" spans="1:24" s="1" customFormat="1" ht="17.100000000000001" customHeight="1" x14ac:dyDescent="0.3">
      <c r="A2292" s="24" t="s">
        <v>23</v>
      </c>
      <c r="B2292" s="24" t="s">
        <v>2589</v>
      </c>
      <c r="C2292" s="12" t="s">
        <v>2593</v>
      </c>
      <c r="D2292" s="54"/>
      <c r="E2292" s="39" t="str">
        <f t="shared" si="53"/>
        <v>Еще фото</v>
      </c>
      <c r="F2292" s="13"/>
      <c r="G2292" s="24" t="s">
        <v>2189</v>
      </c>
      <c r="H2292" s="24" t="s">
        <v>27</v>
      </c>
      <c r="I2292" s="24" t="s">
        <v>2190</v>
      </c>
      <c r="J2292" s="14" t="s">
        <v>29</v>
      </c>
      <c r="K2292" s="15" t="s">
        <v>30</v>
      </c>
      <c r="L2292" s="57"/>
      <c r="M2292" s="14"/>
      <c r="N2292" s="14" t="s">
        <v>640</v>
      </c>
      <c r="O2292" s="14"/>
      <c r="P2292" s="15" t="s">
        <v>152</v>
      </c>
      <c r="Q2292" s="16">
        <v>13999</v>
      </c>
      <c r="R2292" s="17">
        <v>40</v>
      </c>
      <c r="S2292" s="18">
        <v>9659.31</v>
      </c>
      <c r="T2292" s="19" t="s">
        <v>36</v>
      </c>
      <c r="U2292" s="20" t="s">
        <v>37</v>
      </c>
      <c r="V2292" s="21" t="s">
        <v>38</v>
      </c>
      <c r="W2292" s="22">
        <v>3</v>
      </c>
      <c r="X2292" s="23"/>
    </row>
    <row r="2293" spans="1:24" s="1" customFormat="1" ht="17.100000000000001" customHeight="1" x14ac:dyDescent="0.3">
      <c r="A2293" s="24" t="s">
        <v>23</v>
      </c>
      <c r="B2293" s="24" t="s">
        <v>2589</v>
      </c>
      <c r="C2293" s="12" t="s">
        <v>2593</v>
      </c>
      <c r="D2293" s="54"/>
      <c r="E2293" s="39" t="str">
        <f t="shared" si="53"/>
        <v>Еще фото</v>
      </c>
      <c r="F2293" s="13"/>
      <c r="G2293" s="24" t="s">
        <v>2189</v>
      </c>
      <c r="H2293" s="24" t="s">
        <v>27</v>
      </c>
      <c r="I2293" s="24" t="s">
        <v>2190</v>
      </c>
      <c r="J2293" s="14" t="s">
        <v>29</v>
      </c>
      <c r="K2293" s="15" t="s">
        <v>30</v>
      </c>
      <c r="L2293" s="57"/>
      <c r="M2293" s="14"/>
      <c r="N2293" s="14" t="s">
        <v>640</v>
      </c>
      <c r="O2293" s="14"/>
      <c r="P2293" s="15" t="s">
        <v>152</v>
      </c>
      <c r="Q2293" s="16">
        <v>13999</v>
      </c>
      <c r="R2293" s="17">
        <v>40</v>
      </c>
      <c r="S2293" s="18">
        <v>9659.31</v>
      </c>
      <c r="T2293" s="19" t="s">
        <v>36</v>
      </c>
      <c r="U2293" s="20" t="s">
        <v>39</v>
      </c>
      <c r="V2293" s="21" t="s">
        <v>40</v>
      </c>
      <c r="W2293" s="22">
        <v>3</v>
      </c>
      <c r="X2293" s="23"/>
    </row>
    <row r="2294" spans="1:24" s="1" customFormat="1" ht="17.100000000000001" customHeight="1" x14ac:dyDescent="0.3">
      <c r="A2294" s="24" t="s">
        <v>23</v>
      </c>
      <c r="B2294" s="24" t="s">
        <v>2589</v>
      </c>
      <c r="C2294" s="12" t="s">
        <v>2593</v>
      </c>
      <c r="D2294" s="54"/>
      <c r="E2294" s="39" t="str">
        <f t="shared" si="53"/>
        <v>Еще фото</v>
      </c>
      <c r="F2294" s="13"/>
      <c r="G2294" s="24" t="s">
        <v>2189</v>
      </c>
      <c r="H2294" s="24" t="s">
        <v>27</v>
      </c>
      <c r="I2294" s="24" t="s">
        <v>2190</v>
      </c>
      <c r="J2294" s="14" t="s">
        <v>29</v>
      </c>
      <c r="K2294" s="15" t="s">
        <v>30</v>
      </c>
      <c r="L2294" s="57"/>
      <c r="M2294" s="14"/>
      <c r="N2294" s="14" t="s">
        <v>640</v>
      </c>
      <c r="O2294" s="14"/>
      <c r="P2294" s="15" t="s">
        <v>152</v>
      </c>
      <c r="Q2294" s="16">
        <v>13999</v>
      </c>
      <c r="R2294" s="17">
        <v>40</v>
      </c>
      <c r="S2294" s="18">
        <v>9659.31</v>
      </c>
      <c r="T2294" s="19" t="s">
        <v>36</v>
      </c>
      <c r="U2294" s="20" t="s">
        <v>41</v>
      </c>
      <c r="V2294" s="21" t="s">
        <v>42</v>
      </c>
      <c r="W2294" s="22">
        <v>8</v>
      </c>
      <c r="X2294" s="23"/>
    </row>
    <row r="2295" spans="1:24" s="1" customFormat="1" ht="17.100000000000001" customHeight="1" x14ac:dyDescent="0.3">
      <c r="A2295" s="24" t="s">
        <v>23</v>
      </c>
      <c r="B2295" s="24" t="s">
        <v>2589</v>
      </c>
      <c r="C2295" s="12" t="s">
        <v>2593</v>
      </c>
      <c r="D2295" s="54"/>
      <c r="E2295" s="39" t="str">
        <f t="shared" si="53"/>
        <v>Еще фото</v>
      </c>
      <c r="F2295" s="13"/>
      <c r="G2295" s="24" t="s">
        <v>2189</v>
      </c>
      <c r="H2295" s="24" t="s">
        <v>27</v>
      </c>
      <c r="I2295" s="24" t="s">
        <v>2190</v>
      </c>
      <c r="J2295" s="14" t="s">
        <v>29</v>
      </c>
      <c r="K2295" s="15" t="s">
        <v>30</v>
      </c>
      <c r="L2295" s="57"/>
      <c r="M2295" s="14"/>
      <c r="N2295" s="14" t="s">
        <v>640</v>
      </c>
      <c r="O2295" s="14"/>
      <c r="P2295" s="15" t="s">
        <v>152</v>
      </c>
      <c r="Q2295" s="16">
        <v>13999</v>
      </c>
      <c r="R2295" s="17">
        <v>40</v>
      </c>
      <c r="S2295" s="18">
        <v>9659.31</v>
      </c>
      <c r="T2295" s="19" t="s">
        <v>36</v>
      </c>
      <c r="U2295" s="20" t="s">
        <v>43</v>
      </c>
      <c r="V2295" s="21" t="s">
        <v>44</v>
      </c>
      <c r="W2295" s="22">
        <v>1</v>
      </c>
      <c r="X2295" s="23"/>
    </row>
    <row r="2296" spans="1:24" s="1" customFormat="1" ht="21.95" customHeight="1" x14ac:dyDescent="0.3">
      <c r="A2296" s="24" t="s">
        <v>23</v>
      </c>
      <c r="B2296" s="24" t="s">
        <v>2589</v>
      </c>
      <c r="C2296" s="12" t="s">
        <v>2593</v>
      </c>
      <c r="D2296" s="55"/>
      <c r="E2296" s="39" t="str">
        <f t="shared" si="53"/>
        <v>Еще фото</v>
      </c>
      <c r="F2296" s="13"/>
      <c r="G2296" s="24" t="s">
        <v>2189</v>
      </c>
      <c r="H2296" s="24" t="s">
        <v>27</v>
      </c>
      <c r="I2296" s="24" t="s">
        <v>2190</v>
      </c>
      <c r="J2296" s="14" t="s">
        <v>29</v>
      </c>
      <c r="K2296" s="15" t="s">
        <v>30</v>
      </c>
      <c r="L2296" s="58"/>
      <c r="M2296" s="14"/>
      <c r="N2296" s="14" t="s">
        <v>640</v>
      </c>
      <c r="O2296" s="14"/>
      <c r="P2296" s="15" t="s">
        <v>152</v>
      </c>
      <c r="Q2296" s="16">
        <v>13999</v>
      </c>
      <c r="R2296" s="17">
        <v>40</v>
      </c>
      <c r="S2296" s="18">
        <v>9659.31</v>
      </c>
      <c r="T2296" s="19" t="s">
        <v>36</v>
      </c>
      <c r="U2296" s="20" t="s">
        <v>104</v>
      </c>
      <c r="V2296" s="21" t="s">
        <v>105</v>
      </c>
      <c r="W2296" s="22">
        <v>1</v>
      </c>
      <c r="X2296" s="23"/>
    </row>
    <row r="2297" spans="1:24" s="1" customFormat="1" ht="108" customHeight="1" x14ac:dyDescent="0.3">
      <c r="A2297" s="11" t="s">
        <v>23</v>
      </c>
      <c r="B2297" s="11" t="s">
        <v>2594</v>
      </c>
      <c r="C2297" s="12" t="s">
        <v>2595</v>
      </c>
      <c r="D2297" s="25"/>
      <c r="E2297" s="39" t="str">
        <f>HYPERLINK("https://www.google.ru/search?q=1383291-044&amp;newwindow=1&amp;tbm=isch","Еще фото")</f>
        <v>Еще фото</v>
      </c>
      <c r="F2297" s="13"/>
      <c r="G2297" s="11" t="s">
        <v>2596</v>
      </c>
      <c r="H2297" s="11" t="s">
        <v>27</v>
      </c>
      <c r="I2297" s="14" t="s">
        <v>2190</v>
      </c>
      <c r="J2297" s="14" t="s">
        <v>29</v>
      </c>
      <c r="K2297" s="15" t="s">
        <v>30</v>
      </c>
      <c r="L2297" s="14" t="s">
        <v>2597</v>
      </c>
      <c r="M2297" s="14" t="s">
        <v>32</v>
      </c>
      <c r="N2297" s="14" t="s">
        <v>84</v>
      </c>
      <c r="O2297" s="14"/>
      <c r="P2297" s="15" t="s">
        <v>100</v>
      </c>
      <c r="Q2297" s="16">
        <v>24199</v>
      </c>
      <c r="R2297" s="17">
        <v>40</v>
      </c>
      <c r="S2297" s="18">
        <v>16697.309999999998</v>
      </c>
      <c r="T2297" s="19" t="s">
        <v>36</v>
      </c>
      <c r="U2297" s="20" t="s">
        <v>39</v>
      </c>
      <c r="V2297" s="21" t="s">
        <v>40</v>
      </c>
      <c r="W2297" s="22">
        <v>1</v>
      </c>
      <c r="X2297" s="23"/>
    </row>
    <row r="2298" spans="1:24" s="1" customFormat="1" ht="108" customHeight="1" x14ac:dyDescent="0.3">
      <c r="A2298" s="11" t="s">
        <v>23</v>
      </c>
      <c r="B2298" s="11" t="s">
        <v>2598</v>
      </c>
      <c r="C2298" s="12" t="s">
        <v>2599</v>
      </c>
      <c r="D2298" s="25"/>
      <c r="E2298" s="39" t="str">
        <f>HYPERLINK("https://www.google.ru/search?q=1383303-011&amp;newwindow=1&amp;tbm=isch","Еще фото")</f>
        <v>Еще фото</v>
      </c>
      <c r="F2298" s="13"/>
      <c r="G2298" s="11" t="s">
        <v>2258</v>
      </c>
      <c r="H2298" s="11" t="s">
        <v>27</v>
      </c>
      <c r="I2298" s="14" t="s">
        <v>2190</v>
      </c>
      <c r="J2298" s="14" t="s">
        <v>29</v>
      </c>
      <c r="K2298" s="15" t="s">
        <v>30</v>
      </c>
      <c r="L2298" s="14" t="s">
        <v>2600</v>
      </c>
      <c r="M2298" s="14"/>
      <c r="N2298" s="14" t="s">
        <v>84</v>
      </c>
      <c r="O2298" s="14"/>
      <c r="P2298" s="15" t="s">
        <v>2601</v>
      </c>
      <c r="Q2298" s="16">
        <v>8399</v>
      </c>
      <c r="R2298" s="17">
        <v>40</v>
      </c>
      <c r="S2298" s="18">
        <v>5795.3099999999995</v>
      </c>
      <c r="T2298" s="19" t="s">
        <v>36</v>
      </c>
      <c r="U2298" s="20" t="s">
        <v>39</v>
      </c>
      <c r="V2298" s="21" t="s">
        <v>40</v>
      </c>
      <c r="W2298" s="22">
        <v>3</v>
      </c>
      <c r="X2298" s="23"/>
    </row>
    <row r="2299" spans="1:24" s="1" customFormat="1" ht="26.1" customHeight="1" x14ac:dyDescent="0.3">
      <c r="A2299" s="11" t="s">
        <v>23</v>
      </c>
      <c r="B2299" s="11" t="s">
        <v>2598</v>
      </c>
      <c r="C2299" s="12" t="s">
        <v>2602</v>
      </c>
      <c r="D2299" s="53"/>
      <c r="E2299" s="39" t="str">
        <f>HYPERLINK("https://www.google.ru/search?q=1383303-686&amp;newwindow=1&amp;tbm=isch","Еще фото")</f>
        <v>Еще фото</v>
      </c>
      <c r="F2299" s="13"/>
      <c r="G2299" s="11" t="s">
        <v>2258</v>
      </c>
      <c r="H2299" s="11" t="s">
        <v>27</v>
      </c>
      <c r="I2299" s="14" t="s">
        <v>2190</v>
      </c>
      <c r="J2299" s="14" t="s">
        <v>29</v>
      </c>
      <c r="K2299" s="15" t="s">
        <v>30</v>
      </c>
      <c r="L2299" s="56" t="s">
        <v>2600</v>
      </c>
      <c r="M2299" s="14"/>
      <c r="N2299" s="14" t="s">
        <v>57</v>
      </c>
      <c r="O2299" s="14"/>
      <c r="P2299" s="15" t="s">
        <v>2601</v>
      </c>
      <c r="Q2299" s="16">
        <v>8399</v>
      </c>
      <c r="R2299" s="17">
        <v>40</v>
      </c>
      <c r="S2299" s="18">
        <v>5795.3099999999995</v>
      </c>
      <c r="T2299" s="19" t="s">
        <v>36</v>
      </c>
      <c r="U2299" s="20" t="s">
        <v>37</v>
      </c>
      <c r="V2299" s="21" t="s">
        <v>38</v>
      </c>
      <c r="W2299" s="22">
        <v>1</v>
      </c>
      <c r="X2299" s="23"/>
    </row>
    <row r="2300" spans="1:24" s="1" customFormat="1" ht="26.1" customHeight="1" x14ac:dyDescent="0.3">
      <c r="A2300" s="24" t="s">
        <v>23</v>
      </c>
      <c r="B2300" s="24" t="s">
        <v>2598</v>
      </c>
      <c r="C2300" s="12" t="s">
        <v>2602</v>
      </c>
      <c r="D2300" s="54"/>
      <c r="E2300" s="39" t="str">
        <f>HYPERLINK("https://www.google.ru/search?q=1383303-686&amp;newwindow=1&amp;tbm=isch","Еще фото")</f>
        <v>Еще фото</v>
      </c>
      <c r="F2300" s="13"/>
      <c r="G2300" s="24" t="s">
        <v>2258</v>
      </c>
      <c r="H2300" s="24" t="s">
        <v>27</v>
      </c>
      <c r="I2300" s="24" t="s">
        <v>2190</v>
      </c>
      <c r="J2300" s="14" t="s">
        <v>29</v>
      </c>
      <c r="K2300" s="15" t="s">
        <v>30</v>
      </c>
      <c r="L2300" s="57"/>
      <c r="M2300" s="14"/>
      <c r="N2300" s="14" t="s">
        <v>57</v>
      </c>
      <c r="O2300" s="14"/>
      <c r="P2300" s="15" t="s">
        <v>2601</v>
      </c>
      <c r="Q2300" s="16">
        <v>8399</v>
      </c>
      <c r="R2300" s="17">
        <v>40</v>
      </c>
      <c r="S2300" s="18">
        <v>5795.3099999999995</v>
      </c>
      <c r="T2300" s="19" t="s">
        <v>36</v>
      </c>
      <c r="U2300" s="20" t="s">
        <v>39</v>
      </c>
      <c r="V2300" s="21" t="s">
        <v>40</v>
      </c>
      <c r="W2300" s="22">
        <v>3</v>
      </c>
      <c r="X2300" s="23"/>
    </row>
    <row r="2301" spans="1:24" s="1" customFormat="1" ht="26.1" customHeight="1" x14ac:dyDescent="0.3">
      <c r="A2301" s="24" t="s">
        <v>23</v>
      </c>
      <c r="B2301" s="24" t="s">
        <v>2598</v>
      </c>
      <c r="C2301" s="12" t="s">
        <v>2602</v>
      </c>
      <c r="D2301" s="54"/>
      <c r="E2301" s="39" t="str">
        <f>HYPERLINK("https://www.google.ru/search?q=1383303-686&amp;newwindow=1&amp;tbm=isch","Еще фото")</f>
        <v>Еще фото</v>
      </c>
      <c r="F2301" s="13"/>
      <c r="G2301" s="24" t="s">
        <v>2258</v>
      </c>
      <c r="H2301" s="24" t="s">
        <v>27</v>
      </c>
      <c r="I2301" s="24" t="s">
        <v>2190</v>
      </c>
      <c r="J2301" s="14" t="s">
        <v>29</v>
      </c>
      <c r="K2301" s="15" t="s">
        <v>30</v>
      </c>
      <c r="L2301" s="57"/>
      <c r="M2301" s="14"/>
      <c r="N2301" s="14" t="s">
        <v>57</v>
      </c>
      <c r="O2301" s="14"/>
      <c r="P2301" s="15" t="s">
        <v>2601</v>
      </c>
      <c r="Q2301" s="16">
        <v>8399</v>
      </c>
      <c r="R2301" s="17">
        <v>40</v>
      </c>
      <c r="S2301" s="18">
        <v>5795.3099999999995</v>
      </c>
      <c r="T2301" s="19" t="s">
        <v>36</v>
      </c>
      <c r="U2301" s="20" t="s">
        <v>41</v>
      </c>
      <c r="V2301" s="21" t="s">
        <v>42</v>
      </c>
      <c r="W2301" s="22">
        <v>1</v>
      </c>
      <c r="X2301" s="23"/>
    </row>
    <row r="2302" spans="1:24" s="1" customFormat="1" ht="26.1" customHeight="1" x14ac:dyDescent="0.3">
      <c r="A2302" s="24" t="s">
        <v>23</v>
      </c>
      <c r="B2302" s="24" t="s">
        <v>2598</v>
      </c>
      <c r="C2302" s="12" t="s">
        <v>2602</v>
      </c>
      <c r="D2302" s="55"/>
      <c r="E2302" s="39" t="str">
        <f>HYPERLINK("https://www.google.ru/search?q=1383303-686&amp;newwindow=1&amp;tbm=isch","Еще фото")</f>
        <v>Еще фото</v>
      </c>
      <c r="F2302" s="13"/>
      <c r="G2302" s="24" t="s">
        <v>2258</v>
      </c>
      <c r="H2302" s="24" t="s">
        <v>27</v>
      </c>
      <c r="I2302" s="24" t="s">
        <v>2190</v>
      </c>
      <c r="J2302" s="14" t="s">
        <v>29</v>
      </c>
      <c r="K2302" s="15" t="s">
        <v>30</v>
      </c>
      <c r="L2302" s="58"/>
      <c r="M2302" s="14"/>
      <c r="N2302" s="14" t="s">
        <v>57</v>
      </c>
      <c r="O2302" s="14"/>
      <c r="P2302" s="15" t="s">
        <v>2601</v>
      </c>
      <c r="Q2302" s="16">
        <v>8399</v>
      </c>
      <c r="R2302" s="17">
        <v>40</v>
      </c>
      <c r="S2302" s="18">
        <v>5795.3099999999995</v>
      </c>
      <c r="T2302" s="19" t="s">
        <v>36</v>
      </c>
      <c r="U2302" s="20" t="s">
        <v>43</v>
      </c>
      <c r="V2302" s="21" t="s">
        <v>44</v>
      </c>
      <c r="W2302" s="22">
        <v>1</v>
      </c>
      <c r="X2302" s="23"/>
    </row>
    <row r="2303" spans="1:24" s="1" customFormat="1" ht="108" customHeight="1" x14ac:dyDescent="0.3">
      <c r="A2303" s="11" t="s">
        <v>23</v>
      </c>
      <c r="B2303" s="11" t="s">
        <v>2603</v>
      </c>
      <c r="C2303" s="12" t="s">
        <v>2604</v>
      </c>
      <c r="D2303" s="25"/>
      <c r="E2303" s="39" t="str">
        <f>HYPERLINK("https://www.google.ru/search?q=1383358-246&amp;newwindow=1&amp;tbm=isch","Еще фото")</f>
        <v>Еще фото</v>
      </c>
      <c r="F2303" s="13" t="s">
        <v>310</v>
      </c>
      <c r="G2303" s="11" t="s">
        <v>2202</v>
      </c>
      <c r="H2303" s="11" t="s">
        <v>27</v>
      </c>
      <c r="I2303" s="14" t="s">
        <v>2190</v>
      </c>
      <c r="J2303" s="14" t="s">
        <v>29</v>
      </c>
      <c r="K2303" s="15" t="s">
        <v>64</v>
      </c>
      <c r="L2303" s="14" t="s">
        <v>2605</v>
      </c>
      <c r="M2303" s="14" t="s">
        <v>32</v>
      </c>
      <c r="N2303" s="14" t="s">
        <v>249</v>
      </c>
      <c r="O2303" s="14"/>
      <c r="P2303" s="15" t="s">
        <v>492</v>
      </c>
      <c r="Q2303" s="16">
        <v>16099</v>
      </c>
      <c r="R2303" s="17">
        <v>40</v>
      </c>
      <c r="S2303" s="18">
        <v>11108.31</v>
      </c>
      <c r="T2303" s="19" t="s">
        <v>36</v>
      </c>
      <c r="U2303" s="20" t="s">
        <v>69</v>
      </c>
      <c r="V2303" s="21" t="s">
        <v>70</v>
      </c>
      <c r="W2303" s="22">
        <v>5</v>
      </c>
      <c r="X2303" s="23"/>
    </row>
    <row r="2304" spans="1:24" s="1" customFormat="1" ht="108" customHeight="1" x14ac:dyDescent="0.3">
      <c r="A2304" s="11" t="s">
        <v>23</v>
      </c>
      <c r="B2304" s="11" t="s">
        <v>2606</v>
      </c>
      <c r="C2304" s="12" t="s">
        <v>2607</v>
      </c>
      <c r="D2304" s="25"/>
      <c r="E2304" s="39" t="str">
        <f>HYPERLINK("https://www.google.ru/search?q=1384225-601&amp;newwindow=1&amp;tbm=isch","Еще фото")</f>
        <v>Еще фото</v>
      </c>
      <c r="F2304" s="13"/>
      <c r="G2304" s="11" t="s">
        <v>2189</v>
      </c>
      <c r="H2304" s="11" t="s">
        <v>27</v>
      </c>
      <c r="I2304" s="14" t="s">
        <v>2190</v>
      </c>
      <c r="J2304" s="14" t="s">
        <v>29</v>
      </c>
      <c r="K2304" s="15" t="s">
        <v>64</v>
      </c>
      <c r="L2304" s="14" t="s">
        <v>2608</v>
      </c>
      <c r="M2304" s="14"/>
      <c r="N2304" s="14" t="s">
        <v>57</v>
      </c>
      <c r="O2304" s="14"/>
      <c r="P2304" s="15" t="s">
        <v>133</v>
      </c>
      <c r="Q2304" s="16">
        <v>4399</v>
      </c>
      <c r="R2304" s="17">
        <v>40</v>
      </c>
      <c r="S2304" s="18">
        <v>3035.31</v>
      </c>
      <c r="T2304" s="19" t="s">
        <v>36</v>
      </c>
      <c r="U2304" s="20" t="s">
        <v>39</v>
      </c>
      <c r="V2304" s="21" t="s">
        <v>38</v>
      </c>
      <c r="W2304" s="22">
        <v>1</v>
      </c>
      <c r="X2304" s="23"/>
    </row>
    <row r="2305" spans="1:24" s="1" customFormat="1" ht="51.95" customHeight="1" x14ac:dyDescent="0.3">
      <c r="A2305" s="11" t="s">
        <v>23</v>
      </c>
      <c r="B2305" s="11" t="s">
        <v>2609</v>
      </c>
      <c r="C2305" s="12" t="s">
        <v>2610</v>
      </c>
      <c r="D2305" s="59"/>
      <c r="E2305" s="39" t="str">
        <f>HYPERLINK("https://www.google.ru/search?q=1386463-001&amp;newwindow=1&amp;tbm=isch","Еще фото")</f>
        <v>Еще фото</v>
      </c>
      <c r="F2305" s="13"/>
      <c r="G2305" s="11" t="s">
        <v>2189</v>
      </c>
      <c r="H2305" s="11" t="s">
        <v>27</v>
      </c>
      <c r="I2305" s="14" t="s">
        <v>2190</v>
      </c>
      <c r="J2305" s="14" t="s">
        <v>29</v>
      </c>
      <c r="K2305" s="15" t="s">
        <v>64</v>
      </c>
      <c r="L2305" s="56" t="s">
        <v>2611</v>
      </c>
      <c r="M2305" s="14"/>
      <c r="N2305" s="14" t="s">
        <v>33</v>
      </c>
      <c r="O2305" s="14"/>
      <c r="P2305" s="15" t="s">
        <v>113</v>
      </c>
      <c r="Q2305" s="16">
        <v>5099</v>
      </c>
      <c r="R2305" s="17">
        <v>40</v>
      </c>
      <c r="S2305" s="18">
        <v>3518.31</v>
      </c>
      <c r="T2305" s="19" t="s">
        <v>36</v>
      </c>
      <c r="U2305" s="20" t="s">
        <v>37</v>
      </c>
      <c r="V2305" s="21" t="s">
        <v>86</v>
      </c>
      <c r="W2305" s="22">
        <v>1</v>
      </c>
      <c r="X2305" s="23"/>
    </row>
    <row r="2306" spans="1:24" s="1" customFormat="1" ht="60.95" customHeight="1" x14ac:dyDescent="0.3">
      <c r="A2306" s="24" t="s">
        <v>23</v>
      </c>
      <c r="B2306" s="24" t="s">
        <v>2609</v>
      </c>
      <c r="C2306" s="12" t="s">
        <v>2610</v>
      </c>
      <c r="D2306" s="60"/>
      <c r="E2306" s="39" t="str">
        <f>HYPERLINK("https://www.google.ru/search?q=1386463-001&amp;newwindow=1&amp;tbm=isch","Еще фото")</f>
        <v>Еще фото</v>
      </c>
      <c r="F2306" s="13"/>
      <c r="G2306" s="24" t="s">
        <v>2189</v>
      </c>
      <c r="H2306" s="24" t="s">
        <v>27</v>
      </c>
      <c r="I2306" s="24" t="s">
        <v>2190</v>
      </c>
      <c r="J2306" s="14" t="s">
        <v>29</v>
      </c>
      <c r="K2306" s="15" t="s">
        <v>64</v>
      </c>
      <c r="L2306" s="58"/>
      <c r="M2306" s="14"/>
      <c r="N2306" s="14" t="s">
        <v>33</v>
      </c>
      <c r="O2306" s="14"/>
      <c r="P2306" s="15" t="s">
        <v>113</v>
      </c>
      <c r="Q2306" s="16">
        <v>5099</v>
      </c>
      <c r="R2306" s="17">
        <v>40</v>
      </c>
      <c r="S2306" s="18">
        <v>3518.31</v>
      </c>
      <c r="T2306" s="19" t="s">
        <v>36</v>
      </c>
      <c r="U2306" s="20" t="s">
        <v>39</v>
      </c>
      <c r="V2306" s="21" t="s">
        <v>38</v>
      </c>
      <c r="W2306" s="22">
        <v>5</v>
      </c>
      <c r="X2306" s="23"/>
    </row>
    <row r="2307" spans="1:24" s="1" customFormat="1" ht="108" customHeight="1" x14ac:dyDescent="0.3">
      <c r="A2307" s="11" t="s">
        <v>23</v>
      </c>
      <c r="B2307" s="11" t="s">
        <v>2612</v>
      </c>
      <c r="C2307" s="12" t="s">
        <v>2613</v>
      </c>
      <c r="D2307" s="25"/>
      <c r="E2307" s="39" t="str">
        <f>HYPERLINK("https://www.google.ru/search?q=1386463-023&amp;newwindow=1&amp;tbm=isch","Еще фото")</f>
        <v>Еще фото</v>
      </c>
      <c r="F2307" s="13"/>
      <c r="G2307" s="11" t="s">
        <v>2189</v>
      </c>
      <c r="H2307" s="11" t="s">
        <v>27</v>
      </c>
      <c r="I2307" s="14" t="s">
        <v>2190</v>
      </c>
      <c r="J2307" s="14" t="s">
        <v>47</v>
      </c>
      <c r="K2307" s="15" t="s">
        <v>64</v>
      </c>
      <c r="L2307" s="14" t="s">
        <v>2611</v>
      </c>
      <c r="M2307" s="14"/>
      <c r="N2307" s="14" t="s">
        <v>84</v>
      </c>
      <c r="O2307" s="14"/>
      <c r="P2307" s="15" t="s">
        <v>113</v>
      </c>
      <c r="Q2307" s="16">
        <v>5099</v>
      </c>
      <c r="R2307" s="17">
        <v>40</v>
      </c>
      <c r="S2307" s="18">
        <v>3518.31</v>
      </c>
      <c r="T2307" s="19" t="s">
        <v>36</v>
      </c>
      <c r="U2307" s="20" t="s">
        <v>41</v>
      </c>
      <c r="V2307" s="21" t="s">
        <v>40</v>
      </c>
      <c r="W2307" s="22">
        <v>1</v>
      </c>
      <c r="X2307" s="23"/>
    </row>
    <row r="2308" spans="1:24" s="1" customFormat="1" ht="108" customHeight="1" x14ac:dyDescent="0.3">
      <c r="A2308" s="11" t="s">
        <v>23</v>
      </c>
      <c r="B2308" s="11" t="s">
        <v>2612</v>
      </c>
      <c r="C2308" s="12" t="s">
        <v>2614</v>
      </c>
      <c r="D2308" s="25"/>
      <c r="E2308" s="39" t="str">
        <f>HYPERLINK("https://www.google.ru/search?q=1386463-403&amp;newwindow=1&amp;tbm=isch","Еще фото")</f>
        <v>Еще фото</v>
      </c>
      <c r="F2308" s="13"/>
      <c r="G2308" s="11" t="s">
        <v>2189</v>
      </c>
      <c r="H2308" s="11" t="s">
        <v>27</v>
      </c>
      <c r="I2308" s="14" t="s">
        <v>2190</v>
      </c>
      <c r="J2308" s="14" t="s">
        <v>47</v>
      </c>
      <c r="K2308" s="15" t="s">
        <v>64</v>
      </c>
      <c r="L2308" s="14" t="s">
        <v>2611</v>
      </c>
      <c r="M2308" s="14"/>
      <c r="N2308" s="14" t="s">
        <v>91</v>
      </c>
      <c r="O2308" s="14"/>
      <c r="P2308" s="15" t="s">
        <v>113</v>
      </c>
      <c r="Q2308" s="16">
        <v>5099</v>
      </c>
      <c r="R2308" s="17">
        <v>40</v>
      </c>
      <c r="S2308" s="18">
        <v>3518.31</v>
      </c>
      <c r="T2308" s="19" t="s">
        <v>36</v>
      </c>
      <c r="U2308" s="20" t="s">
        <v>37</v>
      </c>
      <c r="V2308" s="21" t="s">
        <v>86</v>
      </c>
      <c r="W2308" s="22">
        <v>1</v>
      </c>
      <c r="X2308" s="23"/>
    </row>
    <row r="2309" spans="1:24" s="1" customFormat="1" ht="108" customHeight="1" x14ac:dyDescent="0.3">
      <c r="A2309" s="11" t="s">
        <v>23</v>
      </c>
      <c r="B2309" s="11" t="s">
        <v>2612</v>
      </c>
      <c r="C2309" s="12" t="s">
        <v>2615</v>
      </c>
      <c r="D2309" s="25"/>
      <c r="E2309" s="39" t="str">
        <f>HYPERLINK("https://www.google.ru/search?q=1386463-659&amp;newwindow=1&amp;tbm=isch","Еще фото")</f>
        <v>Еще фото</v>
      </c>
      <c r="F2309" s="13"/>
      <c r="G2309" s="11" t="s">
        <v>2189</v>
      </c>
      <c r="H2309" s="11" t="s">
        <v>27</v>
      </c>
      <c r="I2309" s="14" t="s">
        <v>2190</v>
      </c>
      <c r="J2309" s="14" t="s">
        <v>47</v>
      </c>
      <c r="K2309" s="15" t="s">
        <v>64</v>
      </c>
      <c r="L2309" s="14" t="s">
        <v>2611</v>
      </c>
      <c r="M2309" s="14"/>
      <c r="N2309" s="14" t="s">
        <v>57</v>
      </c>
      <c r="O2309" s="14"/>
      <c r="P2309" s="15" t="s">
        <v>113</v>
      </c>
      <c r="Q2309" s="16">
        <v>5099</v>
      </c>
      <c r="R2309" s="17">
        <v>40</v>
      </c>
      <c r="S2309" s="18">
        <v>3518.31</v>
      </c>
      <c r="T2309" s="19" t="s">
        <v>36</v>
      </c>
      <c r="U2309" s="20" t="s">
        <v>39</v>
      </c>
      <c r="V2309" s="21" t="s">
        <v>38</v>
      </c>
      <c r="W2309" s="22">
        <v>3</v>
      </c>
      <c r="X2309" s="23"/>
    </row>
    <row r="2310" spans="1:24" s="1" customFormat="1" ht="51.95" customHeight="1" x14ac:dyDescent="0.3">
      <c r="A2310" s="11" t="s">
        <v>23</v>
      </c>
      <c r="B2310" s="11" t="s">
        <v>2616</v>
      </c>
      <c r="C2310" s="12" t="s">
        <v>2617</v>
      </c>
      <c r="D2310" s="59"/>
      <c r="E2310" s="39" t="str">
        <f>HYPERLINK("https://www.google.ru/search?q=1386555-498&amp;newwindow=1&amp;tbm=isch","Еще фото")</f>
        <v>Еще фото</v>
      </c>
      <c r="F2310" s="13"/>
      <c r="G2310" s="11" t="s">
        <v>2202</v>
      </c>
      <c r="H2310" s="11" t="s">
        <v>27</v>
      </c>
      <c r="I2310" s="14" t="s">
        <v>2190</v>
      </c>
      <c r="J2310" s="14" t="s">
        <v>29</v>
      </c>
      <c r="K2310" s="15" t="s">
        <v>30</v>
      </c>
      <c r="L2310" s="56" t="s">
        <v>2618</v>
      </c>
      <c r="M2310" s="14" t="s">
        <v>32</v>
      </c>
      <c r="N2310" s="14" t="s">
        <v>215</v>
      </c>
      <c r="O2310" s="14"/>
      <c r="P2310" s="15" t="s">
        <v>100</v>
      </c>
      <c r="Q2310" s="16">
        <v>11599</v>
      </c>
      <c r="R2310" s="17">
        <v>40</v>
      </c>
      <c r="S2310" s="18">
        <v>8003.3099999999986</v>
      </c>
      <c r="T2310" s="19" t="s">
        <v>36</v>
      </c>
      <c r="U2310" s="20" t="s">
        <v>37</v>
      </c>
      <c r="V2310" s="21" t="s">
        <v>38</v>
      </c>
      <c r="W2310" s="22">
        <v>4</v>
      </c>
      <c r="X2310" s="23"/>
    </row>
    <row r="2311" spans="1:24" s="1" customFormat="1" ht="60.95" customHeight="1" x14ac:dyDescent="0.3">
      <c r="A2311" s="24" t="s">
        <v>23</v>
      </c>
      <c r="B2311" s="24" t="s">
        <v>2616</v>
      </c>
      <c r="C2311" s="12" t="s">
        <v>2617</v>
      </c>
      <c r="D2311" s="60"/>
      <c r="E2311" s="39" t="str">
        <f>HYPERLINK("https://www.google.ru/search?q=1386555-498&amp;newwindow=1&amp;tbm=isch","Еще фото")</f>
        <v>Еще фото</v>
      </c>
      <c r="F2311" s="13"/>
      <c r="G2311" s="24" t="s">
        <v>2202</v>
      </c>
      <c r="H2311" s="24" t="s">
        <v>27</v>
      </c>
      <c r="I2311" s="24" t="s">
        <v>2190</v>
      </c>
      <c r="J2311" s="14" t="s">
        <v>29</v>
      </c>
      <c r="K2311" s="15" t="s">
        <v>30</v>
      </c>
      <c r="L2311" s="58"/>
      <c r="M2311" s="14" t="s">
        <v>32</v>
      </c>
      <c r="N2311" s="14" t="s">
        <v>215</v>
      </c>
      <c r="O2311" s="14"/>
      <c r="P2311" s="15" t="s">
        <v>100</v>
      </c>
      <c r="Q2311" s="16">
        <v>11599</v>
      </c>
      <c r="R2311" s="17">
        <v>40</v>
      </c>
      <c r="S2311" s="18">
        <v>8003.3099999999986</v>
      </c>
      <c r="T2311" s="19" t="s">
        <v>36</v>
      </c>
      <c r="U2311" s="20" t="s">
        <v>39</v>
      </c>
      <c r="V2311" s="21" t="s">
        <v>40</v>
      </c>
      <c r="W2311" s="22">
        <v>1</v>
      </c>
      <c r="X2311" s="23"/>
    </row>
    <row r="2312" spans="1:24" s="1" customFormat="1" ht="51.95" customHeight="1" x14ac:dyDescent="0.3">
      <c r="A2312" s="11" t="s">
        <v>23</v>
      </c>
      <c r="B2312" s="11" t="s">
        <v>2619</v>
      </c>
      <c r="C2312" s="12" t="s">
        <v>2620</v>
      </c>
      <c r="D2312" s="59"/>
      <c r="E2312" s="39" t="str">
        <f>HYPERLINK("https://www.google.ru/search?q=1386898-273&amp;newwindow=1&amp;tbm=isch","Еще фото")</f>
        <v>Еще фото</v>
      </c>
      <c r="F2312" s="13"/>
      <c r="G2312" s="11" t="s">
        <v>2198</v>
      </c>
      <c r="H2312" s="11" t="s">
        <v>27</v>
      </c>
      <c r="I2312" s="14" t="s">
        <v>2190</v>
      </c>
      <c r="J2312" s="14" t="s">
        <v>29</v>
      </c>
      <c r="K2312" s="15" t="s">
        <v>30</v>
      </c>
      <c r="L2312" s="56" t="s">
        <v>2621</v>
      </c>
      <c r="M2312" s="14"/>
      <c r="N2312" s="14" t="s">
        <v>74</v>
      </c>
      <c r="O2312" s="14"/>
      <c r="P2312" s="15" t="s">
        <v>156</v>
      </c>
      <c r="Q2312" s="16">
        <v>19399</v>
      </c>
      <c r="R2312" s="17">
        <v>40</v>
      </c>
      <c r="S2312" s="18">
        <v>13385.309999999998</v>
      </c>
      <c r="T2312" s="19" t="s">
        <v>36</v>
      </c>
      <c r="U2312" s="20" t="s">
        <v>37</v>
      </c>
      <c r="V2312" s="21" t="s">
        <v>38</v>
      </c>
      <c r="W2312" s="22">
        <v>1</v>
      </c>
      <c r="X2312" s="23"/>
    </row>
    <row r="2313" spans="1:24" s="1" customFormat="1" ht="60.95" customHeight="1" x14ac:dyDescent="0.3">
      <c r="A2313" s="24" t="s">
        <v>23</v>
      </c>
      <c r="B2313" s="24" t="s">
        <v>2619</v>
      </c>
      <c r="C2313" s="12" t="s">
        <v>2620</v>
      </c>
      <c r="D2313" s="60"/>
      <c r="E2313" s="39" t="str">
        <f>HYPERLINK("https://www.google.ru/search?q=1386898-273&amp;newwindow=1&amp;tbm=isch","Еще фото")</f>
        <v>Еще фото</v>
      </c>
      <c r="F2313" s="13"/>
      <c r="G2313" s="24" t="s">
        <v>2198</v>
      </c>
      <c r="H2313" s="24" t="s">
        <v>27</v>
      </c>
      <c r="I2313" s="24" t="s">
        <v>2190</v>
      </c>
      <c r="J2313" s="14" t="s">
        <v>29</v>
      </c>
      <c r="K2313" s="15" t="s">
        <v>30</v>
      </c>
      <c r="L2313" s="58"/>
      <c r="M2313" s="14"/>
      <c r="N2313" s="14" t="s">
        <v>74</v>
      </c>
      <c r="O2313" s="14"/>
      <c r="P2313" s="15" t="s">
        <v>156</v>
      </c>
      <c r="Q2313" s="16">
        <v>19399</v>
      </c>
      <c r="R2313" s="17">
        <v>40</v>
      </c>
      <c r="S2313" s="18">
        <v>13385.309999999998</v>
      </c>
      <c r="T2313" s="19" t="s">
        <v>36</v>
      </c>
      <c r="U2313" s="20" t="s">
        <v>39</v>
      </c>
      <c r="V2313" s="21" t="s">
        <v>40</v>
      </c>
      <c r="W2313" s="22">
        <v>3</v>
      </c>
      <c r="X2313" s="23"/>
    </row>
    <row r="2314" spans="1:24" s="1" customFormat="1" ht="35.1" customHeight="1" x14ac:dyDescent="0.3">
      <c r="A2314" s="11" t="s">
        <v>23</v>
      </c>
      <c r="B2314" s="11" t="s">
        <v>2622</v>
      </c>
      <c r="C2314" s="12" t="s">
        <v>2623</v>
      </c>
      <c r="D2314" s="53"/>
      <c r="E2314" s="39" t="str">
        <f>HYPERLINK("https://www.google.ru/search?q=1386900-709&amp;newwindow=1&amp;tbm=isch","Еще фото")</f>
        <v>Еще фото</v>
      </c>
      <c r="F2314" s="13"/>
      <c r="G2314" s="11" t="s">
        <v>2596</v>
      </c>
      <c r="H2314" s="11" t="s">
        <v>27</v>
      </c>
      <c r="I2314" s="14" t="s">
        <v>2190</v>
      </c>
      <c r="J2314" s="14" t="s">
        <v>29</v>
      </c>
      <c r="K2314" s="15" t="s">
        <v>30</v>
      </c>
      <c r="L2314" s="56" t="s">
        <v>2624</v>
      </c>
      <c r="M2314" s="14"/>
      <c r="N2314" s="14" t="s">
        <v>84</v>
      </c>
      <c r="O2314" s="14"/>
      <c r="P2314" s="15" t="s">
        <v>156</v>
      </c>
      <c r="Q2314" s="16">
        <v>16299</v>
      </c>
      <c r="R2314" s="17">
        <v>40</v>
      </c>
      <c r="S2314" s="18">
        <v>11246.31</v>
      </c>
      <c r="T2314" s="19" t="s">
        <v>36</v>
      </c>
      <c r="U2314" s="20" t="s">
        <v>69</v>
      </c>
      <c r="V2314" s="21" t="s">
        <v>75</v>
      </c>
      <c r="W2314" s="22">
        <v>1</v>
      </c>
      <c r="X2314" s="23"/>
    </row>
    <row r="2315" spans="1:24" s="1" customFormat="1" ht="35.1" customHeight="1" x14ac:dyDescent="0.3">
      <c r="A2315" s="24" t="s">
        <v>23</v>
      </c>
      <c r="B2315" s="24" t="s">
        <v>2622</v>
      </c>
      <c r="C2315" s="12" t="s">
        <v>2623</v>
      </c>
      <c r="D2315" s="54"/>
      <c r="E2315" s="39" t="str">
        <f>HYPERLINK("https://www.google.ru/search?q=1386900-709&amp;newwindow=1&amp;tbm=isch","Еще фото")</f>
        <v>Еще фото</v>
      </c>
      <c r="F2315" s="13"/>
      <c r="G2315" s="24" t="s">
        <v>2596</v>
      </c>
      <c r="H2315" s="24" t="s">
        <v>27</v>
      </c>
      <c r="I2315" s="24" t="s">
        <v>2190</v>
      </c>
      <c r="J2315" s="14" t="s">
        <v>29</v>
      </c>
      <c r="K2315" s="15" t="s">
        <v>30</v>
      </c>
      <c r="L2315" s="57"/>
      <c r="M2315" s="14"/>
      <c r="N2315" s="14" t="s">
        <v>84</v>
      </c>
      <c r="O2315" s="14"/>
      <c r="P2315" s="15" t="s">
        <v>156</v>
      </c>
      <c r="Q2315" s="16">
        <v>16299</v>
      </c>
      <c r="R2315" s="17">
        <v>40</v>
      </c>
      <c r="S2315" s="18">
        <v>11246.31</v>
      </c>
      <c r="T2315" s="19" t="s">
        <v>36</v>
      </c>
      <c r="U2315" s="20" t="s">
        <v>37</v>
      </c>
      <c r="V2315" s="21" t="s">
        <v>38</v>
      </c>
      <c r="W2315" s="22">
        <v>3</v>
      </c>
      <c r="X2315" s="23"/>
    </row>
    <row r="2316" spans="1:24" s="1" customFormat="1" ht="36.950000000000003" customHeight="1" x14ac:dyDescent="0.3">
      <c r="A2316" s="24" t="s">
        <v>23</v>
      </c>
      <c r="B2316" s="24" t="s">
        <v>2622</v>
      </c>
      <c r="C2316" s="12" t="s">
        <v>2623</v>
      </c>
      <c r="D2316" s="55"/>
      <c r="E2316" s="39" t="str">
        <f>HYPERLINK("https://www.google.ru/search?q=1386900-709&amp;newwindow=1&amp;tbm=isch","Еще фото")</f>
        <v>Еще фото</v>
      </c>
      <c r="F2316" s="13"/>
      <c r="G2316" s="24" t="s">
        <v>2596</v>
      </c>
      <c r="H2316" s="24" t="s">
        <v>27</v>
      </c>
      <c r="I2316" s="24" t="s">
        <v>2190</v>
      </c>
      <c r="J2316" s="14" t="s">
        <v>29</v>
      </c>
      <c r="K2316" s="15" t="s">
        <v>30</v>
      </c>
      <c r="L2316" s="58"/>
      <c r="M2316" s="14"/>
      <c r="N2316" s="14" t="s">
        <v>84</v>
      </c>
      <c r="O2316" s="14"/>
      <c r="P2316" s="15" t="s">
        <v>156</v>
      </c>
      <c r="Q2316" s="16">
        <v>16299</v>
      </c>
      <c r="R2316" s="17">
        <v>40</v>
      </c>
      <c r="S2316" s="18">
        <v>11246.31</v>
      </c>
      <c r="T2316" s="19" t="s">
        <v>36</v>
      </c>
      <c r="U2316" s="20" t="s">
        <v>39</v>
      </c>
      <c r="V2316" s="21" t="s">
        <v>40</v>
      </c>
      <c r="W2316" s="22">
        <v>3</v>
      </c>
      <c r="X2316" s="23"/>
    </row>
    <row r="2317" spans="1:24" s="1" customFormat="1" ht="21" customHeight="1" x14ac:dyDescent="0.3">
      <c r="A2317" s="11" t="s">
        <v>23</v>
      </c>
      <c r="B2317" s="11" t="s">
        <v>2625</v>
      </c>
      <c r="C2317" s="26" t="s">
        <v>2626</v>
      </c>
      <c r="D2317" s="53"/>
      <c r="E2317" s="39" t="str">
        <f>HYPERLINK("https://www.google.ru/search?q=1387124-001&amp;newwindow=1&amp;tbm=isch","Еще фото")</f>
        <v>Еще фото</v>
      </c>
      <c r="F2317" s="13"/>
      <c r="G2317" s="11" t="s">
        <v>2189</v>
      </c>
      <c r="H2317" s="11" t="s">
        <v>27</v>
      </c>
      <c r="I2317" s="14" t="s">
        <v>2190</v>
      </c>
      <c r="J2317" s="14" t="s">
        <v>212</v>
      </c>
      <c r="K2317" s="15" t="s">
        <v>30</v>
      </c>
      <c r="L2317" s="56" t="s">
        <v>2627</v>
      </c>
      <c r="M2317" s="14"/>
      <c r="N2317" s="14" t="s">
        <v>33</v>
      </c>
      <c r="O2317" s="14"/>
      <c r="P2317" s="15" t="s">
        <v>2628</v>
      </c>
      <c r="Q2317" s="16">
        <v>8599</v>
      </c>
      <c r="R2317" s="17">
        <v>40</v>
      </c>
      <c r="S2317" s="18">
        <v>5933.3099999999995</v>
      </c>
      <c r="T2317" s="19" t="s">
        <v>36</v>
      </c>
      <c r="U2317" s="20" t="s">
        <v>37</v>
      </c>
      <c r="V2317" s="21" t="s">
        <v>38</v>
      </c>
      <c r="W2317" s="22">
        <v>11</v>
      </c>
      <c r="X2317" s="23"/>
    </row>
    <row r="2318" spans="1:24" s="1" customFormat="1" ht="21" customHeight="1" x14ac:dyDescent="0.3">
      <c r="A2318" s="24" t="s">
        <v>23</v>
      </c>
      <c r="B2318" s="24" t="s">
        <v>2625</v>
      </c>
      <c r="C2318" s="27" t="s">
        <v>2626</v>
      </c>
      <c r="D2318" s="54"/>
      <c r="E2318" s="39" t="str">
        <f>HYPERLINK("https://www.google.ru/search?q=1387124-001&amp;newwindow=1&amp;tbm=isch","Еще фото")</f>
        <v>Еще фото</v>
      </c>
      <c r="F2318" s="13"/>
      <c r="G2318" s="24" t="s">
        <v>2189</v>
      </c>
      <c r="H2318" s="24" t="s">
        <v>27</v>
      </c>
      <c r="I2318" s="24" t="s">
        <v>2190</v>
      </c>
      <c r="J2318" s="14" t="s">
        <v>212</v>
      </c>
      <c r="K2318" s="15" t="s">
        <v>30</v>
      </c>
      <c r="L2318" s="57"/>
      <c r="M2318" s="14"/>
      <c r="N2318" s="14" t="s">
        <v>33</v>
      </c>
      <c r="O2318" s="14"/>
      <c r="P2318" s="15" t="s">
        <v>2628</v>
      </c>
      <c r="Q2318" s="16">
        <v>8599</v>
      </c>
      <c r="R2318" s="17">
        <v>40</v>
      </c>
      <c r="S2318" s="18">
        <v>5933.3099999999995</v>
      </c>
      <c r="T2318" s="19" t="s">
        <v>36</v>
      </c>
      <c r="U2318" s="20" t="s">
        <v>39</v>
      </c>
      <c r="V2318" s="21" t="s">
        <v>40</v>
      </c>
      <c r="W2318" s="22">
        <v>22</v>
      </c>
      <c r="X2318" s="23"/>
    </row>
    <row r="2319" spans="1:24" s="1" customFormat="1" ht="21" customHeight="1" x14ac:dyDescent="0.3">
      <c r="A2319" s="24" t="s">
        <v>23</v>
      </c>
      <c r="B2319" s="24" t="s">
        <v>2625</v>
      </c>
      <c r="C2319" s="27" t="s">
        <v>2626</v>
      </c>
      <c r="D2319" s="54"/>
      <c r="E2319" s="39" t="str">
        <f>HYPERLINK("https://www.google.ru/search?q=1387124-001&amp;newwindow=1&amp;tbm=isch","Еще фото")</f>
        <v>Еще фото</v>
      </c>
      <c r="F2319" s="13"/>
      <c r="G2319" s="24" t="s">
        <v>2189</v>
      </c>
      <c r="H2319" s="24" t="s">
        <v>27</v>
      </c>
      <c r="I2319" s="24" t="s">
        <v>2190</v>
      </c>
      <c r="J2319" s="14" t="s">
        <v>212</v>
      </c>
      <c r="K2319" s="15" t="s">
        <v>30</v>
      </c>
      <c r="L2319" s="57"/>
      <c r="M2319" s="14"/>
      <c r="N2319" s="14" t="s">
        <v>33</v>
      </c>
      <c r="O2319" s="14"/>
      <c r="P2319" s="15" t="s">
        <v>2628</v>
      </c>
      <c r="Q2319" s="16">
        <v>8599</v>
      </c>
      <c r="R2319" s="17">
        <v>40</v>
      </c>
      <c r="S2319" s="18">
        <v>5933.3099999999995</v>
      </c>
      <c r="T2319" s="19" t="s">
        <v>36</v>
      </c>
      <c r="U2319" s="20" t="s">
        <v>41</v>
      </c>
      <c r="V2319" s="21" t="s">
        <v>42</v>
      </c>
      <c r="W2319" s="22">
        <v>20</v>
      </c>
      <c r="X2319" s="23"/>
    </row>
    <row r="2320" spans="1:24" s="1" customFormat="1" ht="21" customHeight="1" x14ac:dyDescent="0.3">
      <c r="A2320" s="24" t="s">
        <v>23</v>
      </c>
      <c r="B2320" s="24" t="s">
        <v>2625</v>
      </c>
      <c r="C2320" s="27" t="s">
        <v>2626</v>
      </c>
      <c r="D2320" s="54"/>
      <c r="E2320" s="39" t="str">
        <f>HYPERLINK("https://www.google.ru/search?q=1387124-001&amp;newwindow=1&amp;tbm=isch","Еще фото")</f>
        <v>Еще фото</v>
      </c>
      <c r="F2320" s="13"/>
      <c r="G2320" s="24" t="s">
        <v>2189</v>
      </c>
      <c r="H2320" s="24" t="s">
        <v>27</v>
      </c>
      <c r="I2320" s="24" t="s">
        <v>2190</v>
      </c>
      <c r="J2320" s="14" t="s">
        <v>212</v>
      </c>
      <c r="K2320" s="15" t="s">
        <v>30</v>
      </c>
      <c r="L2320" s="57"/>
      <c r="M2320" s="14"/>
      <c r="N2320" s="14" t="s">
        <v>33</v>
      </c>
      <c r="O2320" s="14"/>
      <c r="P2320" s="15" t="s">
        <v>2628</v>
      </c>
      <c r="Q2320" s="16">
        <v>8599</v>
      </c>
      <c r="R2320" s="17">
        <v>40</v>
      </c>
      <c r="S2320" s="18">
        <v>5933.3099999999995</v>
      </c>
      <c r="T2320" s="19" t="s">
        <v>36</v>
      </c>
      <c r="U2320" s="20" t="s">
        <v>43</v>
      </c>
      <c r="V2320" s="21" t="s">
        <v>44</v>
      </c>
      <c r="W2320" s="22">
        <v>5</v>
      </c>
      <c r="X2320" s="23"/>
    </row>
    <row r="2321" spans="1:24" s="1" customFormat="1" ht="32.1" customHeight="1" x14ac:dyDescent="0.3">
      <c r="A2321" s="24" t="s">
        <v>23</v>
      </c>
      <c r="B2321" s="24" t="s">
        <v>2625</v>
      </c>
      <c r="C2321" s="27" t="s">
        <v>2626</v>
      </c>
      <c r="D2321" s="55"/>
      <c r="E2321" s="39" t="str">
        <f>HYPERLINK("https://www.google.ru/search?q=1387124-001&amp;newwindow=1&amp;tbm=isch","Еще фото")</f>
        <v>Еще фото</v>
      </c>
      <c r="F2321" s="13"/>
      <c r="G2321" s="24" t="s">
        <v>2189</v>
      </c>
      <c r="H2321" s="24" t="s">
        <v>27</v>
      </c>
      <c r="I2321" s="24" t="s">
        <v>2190</v>
      </c>
      <c r="J2321" s="14" t="s">
        <v>212</v>
      </c>
      <c r="K2321" s="15" t="s">
        <v>30</v>
      </c>
      <c r="L2321" s="58"/>
      <c r="M2321" s="14"/>
      <c r="N2321" s="14" t="s">
        <v>33</v>
      </c>
      <c r="O2321" s="14"/>
      <c r="P2321" s="15" t="s">
        <v>2628</v>
      </c>
      <c r="Q2321" s="16">
        <v>8599</v>
      </c>
      <c r="R2321" s="17">
        <v>40</v>
      </c>
      <c r="S2321" s="18">
        <v>5933.3099999999995</v>
      </c>
      <c r="T2321" s="19" t="s">
        <v>36</v>
      </c>
      <c r="U2321" s="20" t="s">
        <v>104</v>
      </c>
      <c r="V2321" s="21" t="s">
        <v>105</v>
      </c>
      <c r="W2321" s="22">
        <v>3</v>
      </c>
      <c r="X2321" s="23"/>
    </row>
    <row r="2322" spans="1:24" s="1" customFormat="1" ht="108" customHeight="1" x14ac:dyDescent="0.3">
      <c r="A2322" s="11" t="s">
        <v>23</v>
      </c>
      <c r="B2322" s="11" t="s">
        <v>2629</v>
      </c>
      <c r="C2322" s="12" t="s">
        <v>2630</v>
      </c>
      <c r="D2322" s="25"/>
      <c r="E2322" s="39" t="str">
        <f>HYPERLINK("https://www.google.ru/search?q=1387162-001&amp;newwindow=1&amp;tbm=isch","Еще фото")</f>
        <v>Еще фото</v>
      </c>
      <c r="F2322" s="13"/>
      <c r="G2322" s="11" t="s">
        <v>2202</v>
      </c>
      <c r="H2322" s="11" t="s">
        <v>27</v>
      </c>
      <c r="I2322" s="14" t="s">
        <v>2190</v>
      </c>
      <c r="J2322" s="14" t="s">
        <v>506</v>
      </c>
      <c r="K2322" s="15" t="s">
        <v>30</v>
      </c>
      <c r="L2322" s="14" t="s">
        <v>2631</v>
      </c>
      <c r="M2322" s="14" t="s">
        <v>2632</v>
      </c>
      <c r="N2322" s="14" t="s">
        <v>33</v>
      </c>
      <c r="O2322" s="14"/>
      <c r="P2322" s="15" t="s">
        <v>2633</v>
      </c>
      <c r="Q2322" s="16">
        <v>16799</v>
      </c>
      <c r="R2322" s="17">
        <v>40</v>
      </c>
      <c r="S2322" s="18">
        <v>11591.31</v>
      </c>
      <c r="T2322" s="19" t="s">
        <v>36</v>
      </c>
      <c r="U2322" s="20" t="s">
        <v>39</v>
      </c>
      <c r="V2322" s="21" t="s">
        <v>40</v>
      </c>
      <c r="W2322" s="22">
        <v>1</v>
      </c>
      <c r="X2322" s="23"/>
    </row>
    <row r="2323" spans="1:24" s="1" customFormat="1" ht="108" customHeight="1" x14ac:dyDescent="0.3">
      <c r="A2323" s="11" t="s">
        <v>23</v>
      </c>
      <c r="B2323" s="11" t="s">
        <v>2634</v>
      </c>
      <c r="C2323" s="12" t="s">
        <v>2635</v>
      </c>
      <c r="D2323" s="25"/>
      <c r="E2323" s="39" t="str">
        <f>HYPERLINK("https://www.google.ru/search?q=1387796-709&amp;newwindow=1&amp;tbm=isch","Еще фото")</f>
        <v>Еще фото</v>
      </c>
      <c r="F2323" s="13"/>
      <c r="G2323" s="11" t="s">
        <v>2258</v>
      </c>
      <c r="H2323" s="11" t="s">
        <v>27</v>
      </c>
      <c r="I2323" s="14" t="s">
        <v>2190</v>
      </c>
      <c r="J2323" s="14" t="s">
        <v>29</v>
      </c>
      <c r="K2323" s="15" t="s">
        <v>30</v>
      </c>
      <c r="L2323" s="14" t="s">
        <v>2636</v>
      </c>
      <c r="M2323" s="14"/>
      <c r="N2323" s="14" t="s">
        <v>84</v>
      </c>
      <c r="O2323" s="14"/>
      <c r="P2323" s="15" t="s">
        <v>2601</v>
      </c>
      <c r="Q2323" s="16">
        <v>8999</v>
      </c>
      <c r="R2323" s="17">
        <v>40</v>
      </c>
      <c r="S2323" s="18">
        <v>6209.3099999999995</v>
      </c>
      <c r="T2323" s="19" t="s">
        <v>36</v>
      </c>
      <c r="U2323" s="20" t="s">
        <v>41</v>
      </c>
      <c r="V2323" s="21" t="s">
        <v>42</v>
      </c>
      <c r="W2323" s="22">
        <v>1</v>
      </c>
      <c r="X2323" s="23"/>
    </row>
    <row r="2324" spans="1:24" s="1" customFormat="1" ht="26.1" customHeight="1" x14ac:dyDescent="0.3">
      <c r="A2324" s="11" t="s">
        <v>23</v>
      </c>
      <c r="B2324" s="11" t="s">
        <v>2634</v>
      </c>
      <c r="C2324" s="12" t="s">
        <v>2637</v>
      </c>
      <c r="D2324" s="53"/>
      <c r="E2324" s="39" t="str">
        <f>HYPERLINK("https://www.google.ru/search?q=1387796-800&amp;newwindow=1&amp;tbm=isch","Еще фото")</f>
        <v>Еще фото</v>
      </c>
      <c r="F2324" s="13"/>
      <c r="G2324" s="11" t="s">
        <v>2258</v>
      </c>
      <c r="H2324" s="11" t="s">
        <v>27</v>
      </c>
      <c r="I2324" s="14" t="s">
        <v>2190</v>
      </c>
      <c r="J2324" s="14" t="s">
        <v>29</v>
      </c>
      <c r="K2324" s="15" t="s">
        <v>30</v>
      </c>
      <c r="L2324" s="56" t="s">
        <v>2636</v>
      </c>
      <c r="M2324" s="14"/>
      <c r="N2324" s="14" t="s">
        <v>434</v>
      </c>
      <c r="O2324" s="14"/>
      <c r="P2324" s="15" t="s">
        <v>2601</v>
      </c>
      <c r="Q2324" s="16">
        <v>8999</v>
      </c>
      <c r="R2324" s="17">
        <v>40</v>
      </c>
      <c r="S2324" s="18">
        <v>6209.3099999999995</v>
      </c>
      <c r="T2324" s="19" t="s">
        <v>36</v>
      </c>
      <c r="U2324" s="20" t="s">
        <v>69</v>
      </c>
      <c r="V2324" s="21" t="s">
        <v>75</v>
      </c>
      <c r="W2324" s="22">
        <v>1</v>
      </c>
      <c r="X2324" s="23"/>
    </row>
    <row r="2325" spans="1:24" s="1" customFormat="1" ht="26.1" customHeight="1" x14ac:dyDescent="0.3">
      <c r="A2325" s="24" t="s">
        <v>23</v>
      </c>
      <c r="B2325" s="24" t="s">
        <v>2634</v>
      </c>
      <c r="C2325" s="12" t="s">
        <v>2637</v>
      </c>
      <c r="D2325" s="54"/>
      <c r="E2325" s="39" t="str">
        <f>HYPERLINK("https://www.google.ru/search?q=1387796-800&amp;newwindow=1&amp;tbm=isch","Еще фото")</f>
        <v>Еще фото</v>
      </c>
      <c r="F2325" s="13"/>
      <c r="G2325" s="24" t="s">
        <v>2258</v>
      </c>
      <c r="H2325" s="24" t="s">
        <v>27</v>
      </c>
      <c r="I2325" s="24" t="s">
        <v>2190</v>
      </c>
      <c r="J2325" s="14" t="s">
        <v>29</v>
      </c>
      <c r="K2325" s="15" t="s">
        <v>30</v>
      </c>
      <c r="L2325" s="57"/>
      <c r="M2325" s="14"/>
      <c r="N2325" s="14" t="s">
        <v>434</v>
      </c>
      <c r="O2325" s="14"/>
      <c r="P2325" s="15" t="s">
        <v>2601</v>
      </c>
      <c r="Q2325" s="16">
        <v>8999</v>
      </c>
      <c r="R2325" s="17">
        <v>40</v>
      </c>
      <c r="S2325" s="18">
        <v>6209.3099999999995</v>
      </c>
      <c r="T2325" s="19" t="s">
        <v>36</v>
      </c>
      <c r="U2325" s="20" t="s">
        <v>37</v>
      </c>
      <c r="V2325" s="21" t="s">
        <v>38</v>
      </c>
      <c r="W2325" s="22">
        <v>1</v>
      </c>
      <c r="X2325" s="23"/>
    </row>
    <row r="2326" spans="1:24" s="1" customFormat="1" ht="26.1" customHeight="1" x14ac:dyDescent="0.3">
      <c r="A2326" s="24" t="s">
        <v>23</v>
      </c>
      <c r="B2326" s="24" t="s">
        <v>2634</v>
      </c>
      <c r="C2326" s="12" t="s">
        <v>2637</v>
      </c>
      <c r="D2326" s="54"/>
      <c r="E2326" s="39" t="str">
        <f>HYPERLINK("https://www.google.ru/search?q=1387796-800&amp;newwindow=1&amp;tbm=isch","Еще фото")</f>
        <v>Еще фото</v>
      </c>
      <c r="F2326" s="13"/>
      <c r="G2326" s="24" t="s">
        <v>2258</v>
      </c>
      <c r="H2326" s="24" t="s">
        <v>27</v>
      </c>
      <c r="I2326" s="24" t="s">
        <v>2190</v>
      </c>
      <c r="J2326" s="14" t="s">
        <v>29</v>
      </c>
      <c r="K2326" s="15" t="s">
        <v>30</v>
      </c>
      <c r="L2326" s="57"/>
      <c r="M2326" s="14"/>
      <c r="N2326" s="14" t="s">
        <v>434</v>
      </c>
      <c r="O2326" s="14"/>
      <c r="P2326" s="15" t="s">
        <v>2601</v>
      </c>
      <c r="Q2326" s="16">
        <v>8999</v>
      </c>
      <c r="R2326" s="17">
        <v>40</v>
      </c>
      <c r="S2326" s="18">
        <v>6209.3099999999995</v>
      </c>
      <c r="T2326" s="19" t="s">
        <v>36</v>
      </c>
      <c r="U2326" s="20" t="s">
        <v>39</v>
      </c>
      <c r="V2326" s="21" t="s">
        <v>40</v>
      </c>
      <c r="W2326" s="22">
        <v>6</v>
      </c>
      <c r="X2326" s="23"/>
    </row>
    <row r="2327" spans="1:24" s="1" customFormat="1" ht="26.1" customHeight="1" x14ac:dyDescent="0.3">
      <c r="A2327" s="24" t="s">
        <v>23</v>
      </c>
      <c r="B2327" s="24" t="s">
        <v>2634</v>
      </c>
      <c r="C2327" s="12" t="s">
        <v>2637</v>
      </c>
      <c r="D2327" s="55"/>
      <c r="E2327" s="39" t="str">
        <f>HYPERLINK("https://www.google.ru/search?q=1387796-800&amp;newwindow=1&amp;tbm=isch","Еще фото")</f>
        <v>Еще фото</v>
      </c>
      <c r="F2327" s="13"/>
      <c r="G2327" s="24" t="s">
        <v>2258</v>
      </c>
      <c r="H2327" s="24" t="s">
        <v>27</v>
      </c>
      <c r="I2327" s="24" t="s">
        <v>2190</v>
      </c>
      <c r="J2327" s="14" t="s">
        <v>29</v>
      </c>
      <c r="K2327" s="15" t="s">
        <v>30</v>
      </c>
      <c r="L2327" s="58"/>
      <c r="M2327" s="14"/>
      <c r="N2327" s="14" t="s">
        <v>434</v>
      </c>
      <c r="O2327" s="14"/>
      <c r="P2327" s="15" t="s">
        <v>2601</v>
      </c>
      <c r="Q2327" s="16">
        <v>8999</v>
      </c>
      <c r="R2327" s="17">
        <v>40</v>
      </c>
      <c r="S2327" s="18">
        <v>6209.3099999999995</v>
      </c>
      <c r="T2327" s="19" t="s">
        <v>36</v>
      </c>
      <c r="U2327" s="20" t="s">
        <v>41</v>
      </c>
      <c r="V2327" s="21" t="s">
        <v>42</v>
      </c>
      <c r="W2327" s="22">
        <v>5</v>
      </c>
      <c r="X2327" s="23"/>
    </row>
    <row r="2328" spans="1:24" s="1" customFormat="1" ht="108" customHeight="1" x14ac:dyDescent="0.3">
      <c r="A2328" s="11" t="s">
        <v>23</v>
      </c>
      <c r="B2328" s="11" t="s">
        <v>2638</v>
      </c>
      <c r="C2328" s="12" t="s">
        <v>2639</v>
      </c>
      <c r="D2328" s="25"/>
      <c r="E2328" s="39" t="str">
        <f>HYPERLINK("https://www.google.ru/search?q=1388692-001&amp;newwindow=1&amp;tbm=isch","Еще фото")</f>
        <v>Еще фото</v>
      </c>
      <c r="F2328" s="13"/>
      <c r="G2328" s="11" t="s">
        <v>2189</v>
      </c>
      <c r="H2328" s="11" t="s">
        <v>27</v>
      </c>
      <c r="I2328" s="14" t="s">
        <v>2190</v>
      </c>
      <c r="J2328" s="14" t="s">
        <v>29</v>
      </c>
      <c r="K2328" s="15" t="s">
        <v>64</v>
      </c>
      <c r="L2328" s="14" t="s">
        <v>2640</v>
      </c>
      <c r="M2328" s="14"/>
      <c r="N2328" s="14" t="s">
        <v>33</v>
      </c>
      <c r="O2328" s="14"/>
      <c r="P2328" s="15" t="s">
        <v>100</v>
      </c>
      <c r="Q2328" s="16">
        <v>5799</v>
      </c>
      <c r="R2328" s="17">
        <v>40</v>
      </c>
      <c r="S2328" s="18">
        <v>4001.31</v>
      </c>
      <c r="T2328" s="19" t="s">
        <v>36</v>
      </c>
      <c r="U2328" s="20" t="s">
        <v>41</v>
      </c>
      <c r="V2328" s="21" t="s">
        <v>40</v>
      </c>
      <c r="W2328" s="22">
        <v>2</v>
      </c>
      <c r="X2328" s="23"/>
    </row>
    <row r="2329" spans="1:24" s="1" customFormat="1" ht="108" customHeight="1" x14ac:dyDescent="0.3">
      <c r="A2329" s="11" t="s">
        <v>23</v>
      </c>
      <c r="B2329" s="11" t="s">
        <v>2641</v>
      </c>
      <c r="C2329" s="12" t="s">
        <v>2642</v>
      </c>
      <c r="D2329" s="25"/>
      <c r="E2329" s="39" t="str">
        <f>HYPERLINK("https://www.google.ru/search?q=1389352-011&amp;newwindow=1&amp;tbm=isch","Еще фото")</f>
        <v>Еще фото</v>
      </c>
      <c r="F2329" s="13"/>
      <c r="G2329" s="11" t="s">
        <v>2198</v>
      </c>
      <c r="H2329" s="11" t="s">
        <v>27</v>
      </c>
      <c r="I2329" s="14" t="s">
        <v>2190</v>
      </c>
      <c r="J2329" s="14" t="s">
        <v>47</v>
      </c>
      <c r="K2329" s="15" t="s">
        <v>30</v>
      </c>
      <c r="L2329" s="14" t="s">
        <v>2643</v>
      </c>
      <c r="M2329" s="14"/>
      <c r="N2329" s="14" t="s">
        <v>84</v>
      </c>
      <c r="O2329" s="14"/>
      <c r="P2329" s="15" t="s">
        <v>2592</v>
      </c>
      <c r="Q2329" s="16">
        <v>12499</v>
      </c>
      <c r="R2329" s="17">
        <v>40</v>
      </c>
      <c r="S2329" s="18">
        <v>8624.31</v>
      </c>
      <c r="T2329" s="19" t="s">
        <v>36</v>
      </c>
      <c r="U2329" s="20" t="s">
        <v>41</v>
      </c>
      <c r="V2329" s="21" t="s">
        <v>42</v>
      </c>
      <c r="W2329" s="22">
        <v>1</v>
      </c>
      <c r="X2329" s="23"/>
    </row>
    <row r="2330" spans="1:24" s="1" customFormat="1" ht="51.95" customHeight="1" x14ac:dyDescent="0.3">
      <c r="A2330" s="11" t="s">
        <v>23</v>
      </c>
      <c r="B2330" s="11" t="s">
        <v>2641</v>
      </c>
      <c r="C2330" s="12" t="s">
        <v>2644</v>
      </c>
      <c r="D2330" s="59"/>
      <c r="E2330" s="39" t="str">
        <f>HYPERLINK("https://www.google.ru/search?q=1389352-110&amp;newwindow=1&amp;tbm=isch","Еще фото")</f>
        <v>Еще фото</v>
      </c>
      <c r="F2330" s="13" t="s">
        <v>98</v>
      </c>
      <c r="G2330" s="11" t="s">
        <v>2198</v>
      </c>
      <c r="H2330" s="11" t="s">
        <v>27</v>
      </c>
      <c r="I2330" s="14" t="s">
        <v>2190</v>
      </c>
      <c r="J2330" s="14" t="s">
        <v>29</v>
      </c>
      <c r="K2330" s="15" t="s">
        <v>30</v>
      </c>
      <c r="L2330" s="56" t="s">
        <v>2643</v>
      </c>
      <c r="M2330" s="14"/>
      <c r="N2330" s="14" t="s">
        <v>74</v>
      </c>
      <c r="O2330" s="14"/>
      <c r="P2330" s="15" t="s">
        <v>152</v>
      </c>
      <c r="Q2330" s="16">
        <v>12499</v>
      </c>
      <c r="R2330" s="17">
        <v>40</v>
      </c>
      <c r="S2330" s="18">
        <v>8624.31</v>
      </c>
      <c r="T2330" s="19" t="s">
        <v>36</v>
      </c>
      <c r="U2330" s="20" t="s">
        <v>39</v>
      </c>
      <c r="V2330" s="21" t="s">
        <v>40</v>
      </c>
      <c r="W2330" s="22">
        <v>3</v>
      </c>
      <c r="X2330" s="23"/>
    </row>
    <row r="2331" spans="1:24" s="1" customFormat="1" ht="60.95" customHeight="1" x14ac:dyDescent="0.3">
      <c r="A2331" s="24" t="s">
        <v>23</v>
      </c>
      <c r="B2331" s="24" t="s">
        <v>2641</v>
      </c>
      <c r="C2331" s="12" t="s">
        <v>2644</v>
      </c>
      <c r="D2331" s="60"/>
      <c r="E2331" s="39" t="str">
        <f>HYPERLINK("https://www.google.ru/search?q=1389352-110&amp;newwindow=1&amp;tbm=isch","Еще фото")</f>
        <v>Еще фото</v>
      </c>
      <c r="F2331" s="13" t="s">
        <v>98</v>
      </c>
      <c r="G2331" s="24" t="s">
        <v>2198</v>
      </c>
      <c r="H2331" s="24" t="s">
        <v>27</v>
      </c>
      <c r="I2331" s="24" t="s">
        <v>2190</v>
      </c>
      <c r="J2331" s="14" t="s">
        <v>29</v>
      </c>
      <c r="K2331" s="15" t="s">
        <v>30</v>
      </c>
      <c r="L2331" s="58"/>
      <c r="M2331" s="14"/>
      <c r="N2331" s="14" t="s">
        <v>74</v>
      </c>
      <c r="O2331" s="14"/>
      <c r="P2331" s="15" t="s">
        <v>152</v>
      </c>
      <c r="Q2331" s="16">
        <v>12499</v>
      </c>
      <c r="R2331" s="17">
        <v>40</v>
      </c>
      <c r="S2331" s="18">
        <v>8624.31</v>
      </c>
      <c r="T2331" s="19" t="s">
        <v>36</v>
      </c>
      <c r="U2331" s="20" t="s">
        <v>41</v>
      </c>
      <c r="V2331" s="21" t="s">
        <v>42</v>
      </c>
      <c r="W2331" s="22">
        <v>3</v>
      </c>
      <c r="X2331" s="23"/>
    </row>
    <row r="2332" spans="1:24" s="1" customFormat="1" ht="21" customHeight="1" x14ac:dyDescent="0.3">
      <c r="A2332" s="11" t="s">
        <v>23</v>
      </c>
      <c r="B2332" s="11" t="s">
        <v>2641</v>
      </c>
      <c r="C2332" s="26" t="s">
        <v>2645</v>
      </c>
      <c r="D2332" s="53"/>
      <c r="E2332" s="39" t="str">
        <f>HYPERLINK("https://www.google.ru/search?q=1389352-498&amp;newwindow=1&amp;tbm=isch","Еще фото")</f>
        <v>Еще фото</v>
      </c>
      <c r="F2332" s="13"/>
      <c r="G2332" s="11" t="s">
        <v>2198</v>
      </c>
      <c r="H2332" s="11" t="s">
        <v>27</v>
      </c>
      <c r="I2332" s="14" t="s">
        <v>2190</v>
      </c>
      <c r="J2332" s="14" t="s">
        <v>47</v>
      </c>
      <c r="K2332" s="15" t="s">
        <v>30</v>
      </c>
      <c r="L2332" s="56"/>
      <c r="M2332" s="14"/>
      <c r="N2332" s="14" t="s">
        <v>91</v>
      </c>
      <c r="O2332" s="14"/>
      <c r="P2332" s="15" t="s">
        <v>152</v>
      </c>
      <c r="Q2332" s="16">
        <v>12499</v>
      </c>
      <c r="R2332" s="17">
        <v>40</v>
      </c>
      <c r="S2332" s="18">
        <v>8624.31</v>
      </c>
      <c r="T2332" s="19" t="s">
        <v>36</v>
      </c>
      <c r="U2332" s="20" t="s">
        <v>37</v>
      </c>
      <c r="V2332" s="21" t="s">
        <v>38</v>
      </c>
      <c r="W2332" s="22">
        <v>7</v>
      </c>
      <c r="X2332" s="23"/>
    </row>
    <row r="2333" spans="1:24" s="1" customFormat="1" ht="21" customHeight="1" x14ac:dyDescent="0.3">
      <c r="A2333" s="24" t="s">
        <v>23</v>
      </c>
      <c r="B2333" s="24" t="s">
        <v>2641</v>
      </c>
      <c r="C2333" s="27" t="s">
        <v>2645</v>
      </c>
      <c r="D2333" s="54"/>
      <c r="E2333" s="39" t="str">
        <f>HYPERLINK("https://www.google.ru/search?q=1389352-498&amp;newwindow=1&amp;tbm=isch","Еще фото")</f>
        <v>Еще фото</v>
      </c>
      <c r="F2333" s="13"/>
      <c r="G2333" s="24" t="s">
        <v>2198</v>
      </c>
      <c r="H2333" s="24" t="s">
        <v>27</v>
      </c>
      <c r="I2333" s="24" t="s">
        <v>2190</v>
      </c>
      <c r="J2333" s="14" t="s">
        <v>47</v>
      </c>
      <c r="K2333" s="15" t="s">
        <v>30</v>
      </c>
      <c r="L2333" s="57"/>
      <c r="M2333" s="14"/>
      <c r="N2333" s="14" t="s">
        <v>91</v>
      </c>
      <c r="O2333" s="14"/>
      <c r="P2333" s="15" t="s">
        <v>152</v>
      </c>
      <c r="Q2333" s="16">
        <v>12499</v>
      </c>
      <c r="R2333" s="17">
        <v>40</v>
      </c>
      <c r="S2333" s="18">
        <v>8624.31</v>
      </c>
      <c r="T2333" s="19" t="s">
        <v>36</v>
      </c>
      <c r="U2333" s="20" t="s">
        <v>39</v>
      </c>
      <c r="V2333" s="21" t="s">
        <v>40</v>
      </c>
      <c r="W2333" s="22">
        <v>9</v>
      </c>
      <c r="X2333" s="23"/>
    </row>
    <row r="2334" spans="1:24" s="1" customFormat="1" ht="21" customHeight="1" x14ac:dyDescent="0.3">
      <c r="A2334" s="24" t="s">
        <v>23</v>
      </c>
      <c r="B2334" s="24" t="s">
        <v>2641</v>
      </c>
      <c r="C2334" s="27" t="s">
        <v>2645</v>
      </c>
      <c r="D2334" s="54"/>
      <c r="E2334" s="39" t="str">
        <f>HYPERLINK("https://www.google.ru/search?q=1389352-498&amp;newwindow=1&amp;tbm=isch","Еще фото")</f>
        <v>Еще фото</v>
      </c>
      <c r="F2334" s="13"/>
      <c r="G2334" s="24" t="s">
        <v>2198</v>
      </c>
      <c r="H2334" s="24" t="s">
        <v>27</v>
      </c>
      <c r="I2334" s="24" t="s">
        <v>2190</v>
      </c>
      <c r="J2334" s="14" t="s">
        <v>47</v>
      </c>
      <c r="K2334" s="15" t="s">
        <v>30</v>
      </c>
      <c r="L2334" s="57"/>
      <c r="M2334" s="14"/>
      <c r="N2334" s="14" t="s">
        <v>91</v>
      </c>
      <c r="O2334" s="14"/>
      <c r="P2334" s="15" t="s">
        <v>152</v>
      </c>
      <c r="Q2334" s="16">
        <v>12499</v>
      </c>
      <c r="R2334" s="17">
        <v>40</v>
      </c>
      <c r="S2334" s="18">
        <v>8624.31</v>
      </c>
      <c r="T2334" s="19" t="s">
        <v>36</v>
      </c>
      <c r="U2334" s="20" t="s">
        <v>41</v>
      </c>
      <c r="V2334" s="21" t="s">
        <v>42</v>
      </c>
      <c r="W2334" s="22">
        <v>9</v>
      </c>
      <c r="X2334" s="23"/>
    </row>
    <row r="2335" spans="1:24" s="1" customFormat="1" ht="21" customHeight="1" x14ac:dyDescent="0.3">
      <c r="A2335" s="24" t="s">
        <v>23</v>
      </c>
      <c r="B2335" s="24" t="s">
        <v>2641</v>
      </c>
      <c r="C2335" s="27" t="s">
        <v>2645</v>
      </c>
      <c r="D2335" s="54"/>
      <c r="E2335" s="39" t="str">
        <f>HYPERLINK("https://www.google.ru/search?q=1389352-498&amp;newwindow=1&amp;tbm=isch","Еще фото")</f>
        <v>Еще фото</v>
      </c>
      <c r="F2335" s="13"/>
      <c r="G2335" s="24" t="s">
        <v>2198</v>
      </c>
      <c r="H2335" s="24" t="s">
        <v>27</v>
      </c>
      <c r="I2335" s="24" t="s">
        <v>2190</v>
      </c>
      <c r="J2335" s="14" t="s">
        <v>47</v>
      </c>
      <c r="K2335" s="15" t="s">
        <v>30</v>
      </c>
      <c r="L2335" s="57"/>
      <c r="M2335" s="14"/>
      <c r="N2335" s="14" t="s">
        <v>91</v>
      </c>
      <c r="O2335" s="14"/>
      <c r="P2335" s="15" t="s">
        <v>152</v>
      </c>
      <c r="Q2335" s="16">
        <v>12499</v>
      </c>
      <c r="R2335" s="17">
        <v>40</v>
      </c>
      <c r="S2335" s="18">
        <v>8624.31</v>
      </c>
      <c r="T2335" s="19" t="s">
        <v>36</v>
      </c>
      <c r="U2335" s="20" t="s">
        <v>43</v>
      </c>
      <c r="V2335" s="21" t="s">
        <v>44</v>
      </c>
      <c r="W2335" s="22">
        <v>1</v>
      </c>
      <c r="X2335" s="23"/>
    </row>
    <row r="2336" spans="1:24" s="1" customFormat="1" ht="32.1" customHeight="1" x14ac:dyDescent="0.3">
      <c r="A2336" s="24" t="s">
        <v>23</v>
      </c>
      <c r="B2336" s="24" t="s">
        <v>2641</v>
      </c>
      <c r="C2336" s="27" t="s">
        <v>2645</v>
      </c>
      <c r="D2336" s="55"/>
      <c r="E2336" s="39" t="str">
        <f>HYPERLINK("https://www.google.ru/search?q=1389352-498&amp;newwindow=1&amp;tbm=isch","Еще фото")</f>
        <v>Еще фото</v>
      </c>
      <c r="F2336" s="13"/>
      <c r="G2336" s="24" t="s">
        <v>2198</v>
      </c>
      <c r="H2336" s="24" t="s">
        <v>27</v>
      </c>
      <c r="I2336" s="24" t="s">
        <v>2190</v>
      </c>
      <c r="J2336" s="14" t="s">
        <v>47</v>
      </c>
      <c r="K2336" s="15" t="s">
        <v>30</v>
      </c>
      <c r="L2336" s="58"/>
      <c r="M2336" s="14"/>
      <c r="N2336" s="14" t="s">
        <v>91</v>
      </c>
      <c r="O2336" s="14"/>
      <c r="P2336" s="15" t="s">
        <v>152</v>
      </c>
      <c r="Q2336" s="16">
        <v>12499</v>
      </c>
      <c r="R2336" s="17">
        <v>40</v>
      </c>
      <c r="S2336" s="18">
        <v>8624.31</v>
      </c>
      <c r="T2336" s="19" t="s">
        <v>36</v>
      </c>
      <c r="U2336" s="20" t="s">
        <v>104</v>
      </c>
      <c r="V2336" s="21" t="s">
        <v>105</v>
      </c>
      <c r="W2336" s="22">
        <v>1</v>
      </c>
      <c r="X2336" s="23"/>
    </row>
    <row r="2337" spans="1:24" s="1" customFormat="1" ht="108" customHeight="1" x14ac:dyDescent="0.3">
      <c r="A2337" s="11" t="s">
        <v>23</v>
      </c>
      <c r="B2337" s="11" t="s">
        <v>2641</v>
      </c>
      <c r="C2337" s="12" t="s">
        <v>2646</v>
      </c>
      <c r="D2337" s="25"/>
      <c r="E2337" s="39" t="str">
        <f>HYPERLINK("https://www.google.ru/search?q=1389352-709&amp;newwindow=1&amp;tbm=isch","Еще фото")</f>
        <v>Еще фото</v>
      </c>
      <c r="F2337" s="13"/>
      <c r="G2337" s="11" t="s">
        <v>2198</v>
      </c>
      <c r="H2337" s="11" t="s">
        <v>27</v>
      </c>
      <c r="I2337" s="14" t="s">
        <v>2190</v>
      </c>
      <c r="J2337" s="14" t="s">
        <v>47</v>
      </c>
      <c r="K2337" s="15" t="s">
        <v>30</v>
      </c>
      <c r="L2337" s="14" t="s">
        <v>2643</v>
      </c>
      <c r="M2337" s="14"/>
      <c r="N2337" s="14" t="s">
        <v>125</v>
      </c>
      <c r="O2337" s="14"/>
      <c r="P2337" s="15" t="s">
        <v>152</v>
      </c>
      <c r="Q2337" s="16">
        <v>12499</v>
      </c>
      <c r="R2337" s="17">
        <v>40</v>
      </c>
      <c r="S2337" s="18">
        <v>8624.31</v>
      </c>
      <c r="T2337" s="19" t="s">
        <v>36</v>
      </c>
      <c r="U2337" s="20" t="s">
        <v>41</v>
      </c>
      <c r="V2337" s="21" t="s">
        <v>42</v>
      </c>
      <c r="W2337" s="22">
        <v>1</v>
      </c>
      <c r="X2337" s="23"/>
    </row>
    <row r="2338" spans="1:24" s="1" customFormat="1" ht="35.1" customHeight="1" x14ac:dyDescent="0.3">
      <c r="A2338" s="11" t="s">
        <v>23</v>
      </c>
      <c r="B2338" s="11" t="s">
        <v>2641</v>
      </c>
      <c r="C2338" s="12" t="s">
        <v>2647</v>
      </c>
      <c r="D2338" s="53"/>
      <c r="E2338" s="39" t="str">
        <f>HYPERLINK("https://www.google.ru/search?q=1389352-919&amp;newwindow=1&amp;tbm=isch","Еще фото")</f>
        <v>Еще фото</v>
      </c>
      <c r="F2338" s="13"/>
      <c r="G2338" s="11" t="s">
        <v>2198</v>
      </c>
      <c r="H2338" s="11" t="s">
        <v>27</v>
      </c>
      <c r="I2338" s="14" t="s">
        <v>2190</v>
      </c>
      <c r="J2338" s="14" t="s">
        <v>47</v>
      </c>
      <c r="K2338" s="15" t="s">
        <v>30</v>
      </c>
      <c r="L2338" s="56" t="s">
        <v>2643</v>
      </c>
      <c r="M2338" s="14"/>
      <c r="N2338" s="14" t="s">
        <v>125</v>
      </c>
      <c r="O2338" s="14"/>
      <c r="P2338" s="15" t="s">
        <v>152</v>
      </c>
      <c r="Q2338" s="16">
        <v>12499</v>
      </c>
      <c r="R2338" s="17">
        <v>40</v>
      </c>
      <c r="S2338" s="18">
        <v>8624.31</v>
      </c>
      <c r="T2338" s="19" t="s">
        <v>36</v>
      </c>
      <c r="U2338" s="20" t="s">
        <v>37</v>
      </c>
      <c r="V2338" s="21" t="s">
        <v>38</v>
      </c>
      <c r="W2338" s="22">
        <v>4</v>
      </c>
      <c r="X2338" s="23"/>
    </row>
    <row r="2339" spans="1:24" s="1" customFormat="1" ht="35.1" customHeight="1" x14ac:dyDescent="0.3">
      <c r="A2339" s="24" t="s">
        <v>23</v>
      </c>
      <c r="B2339" s="24" t="s">
        <v>2641</v>
      </c>
      <c r="C2339" s="12" t="s">
        <v>2647</v>
      </c>
      <c r="D2339" s="54"/>
      <c r="E2339" s="39" t="str">
        <f>HYPERLINK("https://www.google.ru/search?q=1389352-919&amp;newwindow=1&amp;tbm=isch","Еще фото")</f>
        <v>Еще фото</v>
      </c>
      <c r="F2339" s="13"/>
      <c r="G2339" s="24" t="s">
        <v>2198</v>
      </c>
      <c r="H2339" s="24" t="s">
        <v>27</v>
      </c>
      <c r="I2339" s="24" t="s">
        <v>2190</v>
      </c>
      <c r="J2339" s="14" t="s">
        <v>47</v>
      </c>
      <c r="K2339" s="15" t="s">
        <v>30</v>
      </c>
      <c r="L2339" s="57"/>
      <c r="M2339" s="14"/>
      <c r="N2339" s="14" t="s">
        <v>125</v>
      </c>
      <c r="O2339" s="14"/>
      <c r="P2339" s="15" t="s">
        <v>152</v>
      </c>
      <c r="Q2339" s="16">
        <v>12499</v>
      </c>
      <c r="R2339" s="17">
        <v>40</v>
      </c>
      <c r="S2339" s="18">
        <v>8624.31</v>
      </c>
      <c r="T2339" s="19" t="s">
        <v>36</v>
      </c>
      <c r="U2339" s="20" t="s">
        <v>39</v>
      </c>
      <c r="V2339" s="21" t="s">
        <v>40</v>
      </c>
      <c r="W2339" s="22">
        <v>1</v>
      </c>
      <c r="X2339" s="23"/>
    </row>
    <row r="2340" spans="1:24" s="1" customFormat="1" ht="36.950000000000003" customHeight="1" x14ac:dyDescent="0.3">
      <c r="A2340" s="24" t="s">
        <v>23</v>
      </c>
      <c r="B2340" s="24" t="s">
        <v>2641</v>
      </c>
      <c r="C2340" s="12" t="s">
        <v>2647</v>
      </c>
      <c r="D2340" s="55"/>
      <c r="E2340" s="39" t="str">
        <f>HYPERLINK("https://www.google.ru/search?q=1389352-919&amp;newwindow=1&amp;tbm=isch","Еще фото")</f>
        <v>Еще фото</v>
      </c>
      <c r="F2340" s="13"/>
      <c r="G2340" s="24" t="s">
        <v>2198</v>
      </c>
      <c r="H2340" s="24" t="s">
        <v>27</v>
      </c>
      <c r="I2340" s="24" t="s">
        <v>2190</v>
      </c>
      <c r="J2340" s="14" t="s">
        <v>47</v>
      </c>
      <c r="K2340" s="15" t="s">
        <v>30</v>
      </c>
      <c r="L2340" s="58"/>
      <c r="M2340" s="14"/>
      <c r="N2340" s="14" t="s">
        <v>125</v>
      </c>
      <c r="O2340" s="14"/>
      <c r="P2340" s="15" t="s">
        <v>152</v>
      </c>
      <c r="Q2340" s="16">
        <v>12499</v>
      </c>
      <c r="R2340" s="17">
        <v>40</v>
      </c>
      <c r="S2340" s="18">
        <v>8624.31</v>
      </c>
      <c r="T2340" s="19" t="s">
        <v>36</v>
      </c>
      <c r="U2340" s="20" t="s">
        <v>41</v>
      </c>
      <c r="V2340" s="21" t="s">
        <v>42</v>
      </c>
      <c r="W2340" s="22">
        <v>5</v>
      </c>
      <c r="X2340" s="23"/>
    </row>
    <row r="2341" spans="1:24" s="1" customFormat="1" ht="35.1" customHeight="1" x14ac:dyDescent="0.3">
      <c r="A2341" s="11" t="s">
        <v>23</v>
      </c>
      <c r="B2341" s="11" t="s">
        <v>2416</v>
      </c>
      <c r="C2341" s="12" t="s">
        <v>2648</v>
      </c>
      <c r="D2341" s="53"/>
      <c r="E2341" s="39" t="str">
        <f>HYPERLINK("https://www.google.ru/search?q=1389354-390&amp;newwindow=1&amp;tbm=isch","Еще фото")</f>
        <v>Еще фото</v>
      </c>
      <c r="F2341" s="13"/>
      <c r="G2341" s="11" t="s">
        <v>2202</v>
      </c>
      <c r="H2341" s="11" t="s">
        <v>27</v>
      </c>
      <c r="I2341" s="14" t="s">
        <v>2190</v>
      </c>
      <c r="J2341" s="14" t="s">
        <v>29</v>
      </c>
      <c r="K2341" s="15" t="s">
        <v>30</v>
      </c>
      <c r="L2341" s="56" t="s">
        <v>2418</v>
      </c>
      <c r="M2341" s="14"/>
      <c r="N2341" s="14" t="s">
        <v>125</v>
      </c>
      <c r="O2341" s="14"/>
      <c r="P2341" s="15" t="s">
        <v>185</v>
      </c>
      <c r="Q2341" s="16">
        <v>12599</v>
      </c>
      <c r="R2341" s="17">
        <v>40</v>
      </c>
      <c r="S2341" s="18">
        <v>8693.31</v>
      </c>
      <c r="T2341" s="19" t="s">
        <v>36</v>
      </c>
      <c r="U2341" s="20" t="s">
        <v>37</v>
      </c>
      <c r="V2341" s="21" t="s">
        <v>38</v>
      </c>
      <c r="W2341" s="22">
        <v>5</v>
      </c>
      <c r="X2341" s="23"/>
    </row>
    <row r="2342" spans="1:24" s="1" customFormat="1" ht="35.1" customHeight="1" x14ac:dyDescent="0.3">
      <c r="A2342" s="24" t="s">
        <v>23</v>
      </c>
      <c r="B2342" s="24" t="s">
        <v>2416</v>
      </c>
      <c r="C2342" s="12" t="s">
        <v>2648</v>
      </c>
      <c r="D2342" s="54"/>
      <c r="E2342" s="39" t="str">
        <f>HYPERLINK("https://www.google.ru/search?q=1389354-390&amp;newwindow=1&amp;tbm=isch","Еще фото")</f>
        <v>Еще фото</v>
      </c>
      <c r="F2342" s="13"/>
      <c r="G2342" s="24" t="s">
        <v>2202</v>
      </c>
      <c r="H2342" s="24" t="s">
        <v>27</v>
      </c>
      <c r="I2342" s="24" t="s">
        <v>2190</v>
      </c>
      <c r="J2342" s="14" t="s">
        <v>29</v>
      </c>
      <c r="K2342" s="15" t="s">
        <v>30</v>
      </c>
      <c r="L2342" s="57"/>
      <c r="M2342" s="14"/>
      <c r="N2342" s="14" t="s">
        <v>125</v>
      </c>
      <c r="O2342" s="14"/>
      <c r="P2342" s="15" t="s">
        <v>185</v>
      </c>
      <c r="Q2342" s="16">
        <v>12599</v>
      </c>
      <c r="R2342" s="17">
        <v>40</v>
      </c>
      <c r="S2342" s="18">
        <v>8693.31</v>
      </c>
      <c r="T2342" s="19" t="s">
        <v>36</v>
      </c>
      <c r="U2342" s="20" t="s">
        <v>39</v>
      </c>
      <c r="V2342" s="21" t="s">
        <v>40</v>
      </c>
      <c r="W2342" s="22">
        <v>5</v>
      </c>
      <c r="X2342" s="23"/>
    </row>
    <row r="2343" spans="1:24" s="1" customFormat="1" ht="36.950000000000003" customHeight="1" x14ac:dyDescent="0.3">
      <c r="A2343" s="24" t="s">
        <v>23</v>
      </c>
      <c r="B2343" s="24" t="s">
        <v>2416</v>
      </c>
      <c r="C2343" s="12" t="s">
        <v>2648</v>
      </c>
      <c r="D2343" s="55"/>
      <c r="E2343" s="39" t="str">
        <f>HYPERLINK("https://www.google.ru/search?q=1389354-390&amp;newwindow=1&amp;tbm=isch","Еще фото")</f>
        <v>Еще фото</v>
      </c>
      <c r="F2343" s="13"/>
      <c r="G2343" s="24" t="s">
        <v>2202</v>
      </c>
      <c r="H2343" s="24" t="s">
        <v>27</v>
      </c>
      <c r="I2343" s="24" t="s">
        <v>2190</v>
      </c>
      <c r="J2343" s="14" t="s">
        <v>29</v>
      </c>
      <c r="K2343" s="15" t="s">
        <v>30</v>
      </c>
      <c r="L2343" s="58"/>
      <c r="M2343" s="14"/>
      <c r="N2343" s="14" t="s">
        <v>125</v>
      </c>
      <c r="O2343" s="14"/>
      <c r="P2343" s="15" t="s">
        <v>185</v>
      </c>
      <c r="Q2343" s="16">
        <v>12599</v>
      </c>
      <c r="R2343" s="17">
        <v>40</v>
      </c>
      <c r="S2343" s="18">
        <v>8693.31</v>
      </c>
      <c r="T2343" s="19" t="s">
        <v>36</v>
      </c>
      <c r="U2343" s="20" t="s">
        <v>41</v>
      </c>
      <c r="V2343" s="21" t="s">
        <v>42</v>
      </c>
      <c r="W2343" s="22">
        <v>1</v>
      </c>
      <c r="X2343" s="23"/>
    </row>
    <row r="2344" spans="1:24" s="1" customFormat="1" ht="21" customHeight="1" x14ac:dyDescent="0.3">
      <c r="A2344" s="11" t="s">
        <v>23</v>
      </c>
      <c r="B2344" s="11" t="s">
        <v>2231</v>
      </c>
      <c r="C2344" s="26" t="s">
        <v>2649</v>
      </c>
      <c r="D2344" s="53"/>
      <c r="E2344" s="39" t="str">
        <f>HYPERLINK("https://www.google.ru/search?q=1389356-001&amp;newwindow=1&amp;tbm=isch","Еще фото")</f>
        <v>Еще фото</v>
      </c>
      <c r="F2344" s="13" t="s">
        <v>98</v>
      </c>
      <c r="G2344" s="11" t="s">
        <v>2198</v>
      </c>
      <c r="H2344" s="11" t="s">
        <v>27</v>
      </c>
      <c r="I2344" s="14" t="s">
        <v>2190</v>
      </c>
      <c r="J2344" s="14" t="s">
        <v>29</v>
      </c>
      <c r="K2344" s="15" t="s">
        <v>30</v>
      </c>
      <c r="L2344" s="56" t="s">
        <v>2233</v>
      </c>
      <c r="M2344" s="14"/>
      <c r="N2344" s="14" t="s">
        <v>33</v>
      </c>
      <c r="O2344" s="14"/>
      <c r="P2344" s="15" t="s">
        <v>113</v>
      </c>
      <c r="Q2344" s="16">
        <v>8199</v>
      </c>
      <c r="R2344" s="17">
        <v>40</v>
      </c>
      <c r="S2344" s="18">
        <v>5657.3099999999995</v>
      </c>
      <c r="T2344" s="19" t="s">
        <v>36</v>
      </c>
      <c r="U2344" s="20" t="s">
        <v>37</v>
      </c>
      <c r="V2344" s="21" t="s">
        <v>38</v>
      </c>
      <c r="W2344" s="22">
        <v>5</v>
      </c>
      <c r="X2344" s="23"/>
    </row>
    <row r="2345" spans="1:24" s="1" customFormat="1" ht="21" customHeight="1" x14ac:dyDescent="0.3">
      <c r="A2345" s="24" t="s">
        <v>23</v>
      </c>
      <c r="B2345" s="24" t="s">
        <v>2231</v>
      </c>
      <c r="C2345" s="27" t="s">
        <v>2649</v>
      </c>
      <c r="D2345" s="54"/>
      <c r="E2345" s="39" t="str">
        <f>HYPERLINK("https://www.google.ru/search?q=1389356-001&amp;newwindow=1&amp;tbm=isch","Еще фото")</f>
        <v>Еще фото</v>
      </c>
      <c r="F2345" s="13" t="s">
        <v>98</v>
      </c>
      <c r="G2345" s="24" t="s">
        <v>2198</v>
      </c>
      <c r="H2345" s="24" t="s">
        <v>27</v>
      </c>
      <c r="I2345" s="24" t="s">
        <v>2190</v>
      </c>
      <c r="J2345" s="14" t="s">
        <v>29</v>
      </c>
      <c r="K2345" s="15" t="s">
        <v>30</v>
      </c>
      <c r="L2345" s="57"/>
      <c r="M2345" s="14"/>
      <c r="N2345" s="14" t="s">
        <v>33</v>
      </c>
      <c r="O2345" s="14"/>
      <c r="P2345" s="15" t="s">
        <v>113</v>
      </c>
      <c r="Q2345" s="16">
        <v>8199</v>
      </c>
      <c r="R2345" s="17">
        <v>40</v>
      </c>
      <c r="S2345" s="18">
        <v>5657.3099999999995</v>
      </c>
      <c r="T2345" s="19" t="s">
        <v>36</v>
      </c>
      <c r="U2345" s="20" t="s">
        <v>39</v>
      </c>
      <c r="V2345" s="21" t="s">
        <v>40</v>
      </c>
      <c r="W2345" s="22">
        <v>6</v>
      </c>
      <c r="X2345" s="23"/>
    </row>
    <row r="2346" spans="1:24" s="1" customFormat="1" ht="21" customHeight="1" x14ac:dyDescent="0.3">
      <c r="A2346" s="24" t="s">
        <v>23</v>
      </c>
      <c r="B2346" s="24" t="s">
        <v>2231</v>
      </c>
      <c r="C2346" s="27" t="s">
        <v>2649</v>
      </c>
      <c r="D2346" s="54"/>
      <c r="E2346" s="39" t="str">
        <f>HYPERLINK("https://www.google.ru/search?q=1389356-001&amp;newwindow=1&amp;tbm=isch","Еще фото")</f>
        <v>Еще фото</v>
      </c>
      <c r="F2346" s="13" t="s">
        <v>98</v>
      </c>
      <c r="G2346" s="24" t="s">
        <v>2198</v>
      </c>
      <c r="H2346" s="24" t="s">
        <v>27</v>
      </c>
      <c r="I2346" s="24" t="s">
        <v>2190</v>
      </c>
      <c r="J2346" s="14" t="s">
        <v>29</v>
      </c>
      <c r="K2346" s="15" t="s">
        <v>30</v>
      </c>
      <c r="L2346" s="57"/>
      <c r="M2346" s="14"/>
      <c r="N2346" s="14" t="s">
        <v>33</v>
      </c>
      <c r="O2346" s="14"/>
      <c r="P2346" s="15" t="s">
        <v>113</v>
      </c>
      <c r="Q2346" s="16">
        <v>8199</v>
      </c>
      <c r="R2346" s="17">
        <v>40</v>
      </c>
      <c r="S2346" s="18">
        <v>5657.3099999999995</v>
      </c>
      <c r="T2346" s="19" t="s">
        <v>36</v>
      </c>
      <c r="U2346" s="20" t="s">
        <v>41</v>
      </c>
      <c r="V2346" s="21" t="s">
        <v>42</v>
      </c>
      <c r="W2346" s="22">
        <v>11</v>
      </c>
      <c r="X2346" s="23"/>
    </row>
    <row r="2347" spans="1:24" s="1" customFormat="1" ht="21" customHeight="1" x14ac:dyDescent="0.3">
      <c r="A2347" s="24" t="s">
        <v>23</v>
      </c>
      <c r="B2347" s="24" t="s">
        <v>2231</v>
      </c>
      <c r="C2347" s="27" t="s">
        <v>2649</v>
      </c>
      <c r="D2347" s="54"/>
      <c r="E2347" s="39" t="str">
        <f>HYPERLINK("https://www.google.ru/search?q=1389356-001&amp;newwindow=1&amp;tbm=isch","Еще фото")</f>
        <v>Еще фото</v>
      </c>
      <c r="F2347" s="13" t="s">
        <v>98</v>
      </c>
      <c r="G2347" s="24" t="s">
        <v>2198</v>
      </c>
      <c r="H2347" s="24" t="s">
        <v>27</v>
      </c>
      <c r="I2347" s="24" t="s">
        <v>2190</v>
      </c>
      <c r="J2347" s="14" t="s">
        <v>29</v>
      </c>
      <c r="K2347" s="15" t="s">
        <v>30</v>
      </c>
      <c r="L2347" s="57"/>
      <c r="M2347" s="14"/>
      <c r="N2347" s="14" t="s">
        <v>33</v>
      </c>
      <c r="O2347" s="14"/>
      <c r="P2347" s="15" t="s">
        <v>113</v>
      </c>
      <c r="Q2347" s="16">
        <v>8199</v>
      </c>
      <c r="R2347" s="17">
        <v>40</v>
      </c>
      <c r="S2347" s="18">
        <v>5657.3099999999995</v>
      </c>
      <c r="T2347" s="19" t="s">
        <v>36</v>
      </c>
      <c r="U2347" s="20" t="s">
        <v>43</v>
      </c>
      <c r="V2347" s="21" t="s">
        <v>44</v>
      </c>
      <c r="W2347" s="22">
        <v>2</v>
      </c>
      <c r="X2347" s="23"/>
    </row>
    <row r="2348" spans="1:24" s="1" customFormat="1" ht="32.1" customHeight="1" x14ac:dyDescent="0.3">
      <c r="A2348" s="24" t="s">
        <v>23</v>
      </c>
      <c r="B2348" s="24" t="s">
        <v>2231</v>
      </c>
      <c r="C2348" s="27" t="s">
        <v>2649</v>
      </c>
      <c r="D2348" s="55"/>
      <c r="E2348" s="39" t="str">
        <f>HYPERLINK("https://www.google.ru/search?q=1389356-001&amp;newwindow=1&amp;tbm=isch","Еще фото")</f>
        <v>Еще фото</v>
      </c>
      <c r="F2348" s="13" t="s">
        <v>98</v>
      </c>
      <c r="G2348" s="24" t="s">
        <v>2198</v>
      </c>
      <c r="H2348" s="24" t="s">
        <v>27</v>
      </c>
      <c r="I2348" s="24" t="s">
        <v>2190</v>
      </c>
      <c r="J2348" s="14" t="s">
        <v>29</v>
      </c>
      <c r="K2348" s="15" t="s">
        <v>30</v>
      </c>
      <c r="L2348" s="58"/>
      <c r="M2348" s="14"/>
      <c r="N2348" s="14" t="s">
        <v>33</v>
      </c>
      <c r="O2348" s="14"/>
      <c r="P2348" s="15" t="s">
        <v>113</v>
      </c>
      <c r="Q2348" s="16">
        <v>8199</v>
      </c>
      <c r="R2348" s="17">
        <v>40</v>
      </c>
      <c r="S2348" s="18">
        <v>5657.3099999999995</v>
      </c>
      <c r="T2348" s="19" t="s">
        <v>36</v>
      </c>
      <c r="U2348" s="20" t="s">
        <v>104</v>
      </c>
      <c r="V2348" s="21" t="s">
        <v>105</v>
      </c>
      <c r="W2348" s="22">
        <v>1</v>
      </c>
      <c r="X2348" s="23"/>
    </row>
    <row r="2349" spans="1:24" s="1" customFormat="1" ht="21" customHeight="1" x14ac:dyDescent="0.3">
      <c r="A2349" s="11" t="s">
        <v>23</v>
      </c>
      <c r="B2349" s="11" t="s">
        <v>2231</v>
      </c>
      <c r="C2349" s="26" t="s">
        <v>2650</v>
      </c>
      <c r="D2349" s="53"/>
      <c r="E2349" s="39" t="str">
        <f>HYPERLINK("https://www.google.ru/search?q=1389356-391&amp;newwindow=1&amp;tbm=isch","Еще фото")</f>
        <v>Еще фото</v>
      </c>
      <c r="F2349" s="13"/>
      <c r="G2349" s="11" t="s">
        <v>2198</v>
      </c>
      <c r="H2349" s="11" t="s">
        <v>27</v>
      </c>
      <c r="I2349" s="14" t="s">
        <v>2190</v>
      </c>
      <c r="J2349" s="14" t="s">
        <v>47</v>
      </c>
      <c r="K2349" s="15" t="s">
        <v>30</v>
      </c>
      <c r="L2349" s="56" t="s">
        <v>2233</v>
      </c>
      <c r="M2349" s="14"/>
      <c r="N2349" s="14" t="s">
        <v>125</v>
      </c>
      <c r="O2349" s="14"/>
      <c r="P2349" s="15" t="s">
        <v>113</v>
      </c>
      <c r="Q2349" s="16">
        <v>8199</v>
      </c>
      <c r="R2349" s="17">
        <v>40</v>
      </c>
      <c r="S2349" s="18">
        <v>5657.3099999999995</v>
      </c>
      <c r="T2349" s="19" t="s">
        <v>36</v>
      </c>
      <c r="U2349" s="20" t="s">
        <v>37</v>
      </c>
      <c r="V2349" s="21" t="s">
        <v>38</v>
      </c>
      <c r="W2349" s="22">
        <v>11</v>
      </c>
      <c r="X2349" s="23"/>
    </row>
    <row r="2350" spans="1:24" s="1" customFormat="1" ht="21" customHeight="1" x14ac:dyDescent="0.3">
      <c r="A2350" s="24" t="s">
        <v>23</v>
      </c>
      <c r="B2350" s="24" t="s">
        <v>2231</v>
      </c>
      <c r="C2350" s="27" t="s">
        <v>2650</v>
      </c>
      <c r="D2350" s="54"/>
      <c r="E2350" s="39" t="str">
        <f>HYPERLINK("https://www.google.ru/search?q=1389356-391&amp;newwindow=1&amp;tbm=isch","Еще фото")</f>
        <v>Еще фото</v>
      </c>
      <c r="F2350" s="13"/>
      <c r="G2350" s="24" t="s">
        <v>2198</v>
      </c>
      <c r="H2350" s="24" t="s">
        <v>27</v>
      </c>
      <c r="I2350" s="24" t="s">
        <v>2190</v>
      </c>
      <c r="J2350" s="14" t="s">
        <v>47</v>
      </c>
      <c r="K2350" s="15" t="s">
        <v>30</v>
      </c>
      <c r="L2350" s="57"/>
      <c r="M2350" s="14"/>
      <c r="N2350" s="14" t="s">
        <v>125</v>
      </c>
      <c r="O2350" s="14"/>
      <c r="P2350" s="15" t="s">
        <v>113</v>
      </c>
      <c r="Q2350" s="16">
        <v>8199</v>
      </c>
      <c r="R2350" s="17">
        <v>40</v>
      </c>
      <c r="S2350" s="18">
        <v>5657.3099999999995</v>
      </c>
      <c r="T2350" s="19" t="s">
        <v>36</v>
      </c>
      <c r="U2350" s="20" t="s">
        <v>39</v>
      </c>
      <c r="V2350" s="21" t="s">
        <v>40</v>
      </c>
      <c r="W2350" s="22">
        <v>18</v>
      </c>
      <c r="X2350" s="23"/>
    </row>
    <row r="2351" spans="1:24" s="1" customFormat="1" ht="21" customHeight="1" x14ac:dyDescent="0.3">
      <c r="A2351" s="24" t="s">
        <v>23</v>
      </c>
      <c r="B2351" s="24" t="s">
        <v>2231</v>
      </c>
      <c r="C2351" s="27" t="s">
        <v>2650</v>
      </c>
      <c r="D2351" s="54"/>
      <c r="E2351" s="39" t="str">
        <f>HYPERLINK("https://www.google.ru/search?q=1389356-391&amp;newwindow=1&amp;tbm=isch","Еще фото")</f>
        <v>Еще фото</v>
      </c>
      <c r="F2351" s="13"/>
      <c r="G2351" s="24" t="s">
        <v>2198</v>
      </c>
      <c r="H2351" s="24" t="s">
        <v>27</v>
      </c>
      <c r="I2351" s="24" t="s">
        <v>2190</v>
      </c>
      <c r="J2351" s="14" t="s">
        <v>47</v>
      </c>
      <c r="K2351" s="15" t="s">
        <v>30</v>
      </c>
      <c r="L2351" s="57"/>
      <c r="M2351" s="14"/>
      <c r="N2351" s="14" t="s">
        <v>125</v>
      </c>
      <c r="O2351" s="14"/>
      <c r="P2351" s="15" t="s">
        <v>113</v>
      </c>
      <c r="Q2351" s="16">
        <v>8199</v>
      </c>
      <c r="R2351" s="17">
        <v>40</v>
      </c>
      <c r="S2351" s="18">
        <v>5657.3099999999995</v>
      </c>
      <c r="T2351" s="19" t="s">
        <v>36</v>
      </c>
      <c r="U2351" s="20" t="s">
        <v>41</v>
      </c>
      <c r="V2351" s="21" t="s">
        <v>42</v>
      </c>
      <c r="W2351" s="22">
        <v>18</v>
      </c>
      <c r="X2351" s="23"/>
    </row>
    <row r="2352" spans="1:24" s="1" customFormat="1" ht="21" customHeight="1" x14ac:dyDescent="0.3">
      <c r="A2352" s="24" t="s">
        <v>23</v>
      </c>
      <c r="B2352" s="24" t="s">
        <v>2231</v>
      </c>
      <c r="C2352" s="27" t="s">
        <v>2650</v>
      </c>
      <c r="D2352" s="54"/>
      <c r="E2352" s="39" t="str">
        <f>HYPERLINK("https://www.google.ru/search?q=1389356-391&amp;newwindow=1&amp;tbm=isch","Еще фото")</f>
        <v>Еще фото</v>
      </c>
      <c r="F2352" s="13"/>
      <c r="G2352" s="24" t="s">
        <v>2198</v>
      </c>
      <c r="H2352" s="24" t="s">
        <v>27</v>
      </c>
      <c r="I2352" s="24" t="s">
        <v>2190</v>
      </c>
      <c r="J2352" s="14" t="s">
        <v>47</v>
      </c>
      <c r="K2352" s="15" t="s">
        <v>30</v>
      </c>
      <c r="L2352" s="57"/>
      <c r="M2352" s="14"/>
      <c r="N2352" s="14" t="s">
        <v>125</v>
      </c>
      <c r="O2352" s="14"/>
      <c r="P2352" s="15" t="s">
        <v>113</v>
      </c>
      <c r="Q2352" s="16">
        <v>8199</v>
      </c>
      <c r="R2352" s="17">
        <v>40</v>
      </c>
      <c r="S2352" s="18">
        <v>5657.3099999999995</v>
      </c>
      <c r="T2352" s="19" t="s">
        <v>36</v>
      </c>
      <c r="U2352" s="20" t="s">
        <v>43</v>
      </c>
      <c r="V2352" s="21" t="s">
        <v>44</v>
      </c>
      <c r="W2352" s="22">
        <v>10</v>
      </c>
      <c r="X2352" s="23"/>
    </row>
    <row r="2353" spans="1:24" s="1" customFormat="1" ht="32.1" customHeight="1" x14ac:dyDescent="0.3">
      <c r="A2353" s="24" t="s">
        <v>23</v>
      </c>
      <c r="B2353" s="24" t="s">
        <v>2231</v>
      </c>
      <c r="C2353" s="27" t="s">
        <v>2650</v>
      </c>
      <c r="D2353" s="55"/>
      <c r="E2353" s="39" t="str">
        <f>HYPERLINK("https://www.google.ru/search?q=1389356-391&amp;newwindow=1&amp;tbm=isch","Еще фото")</f>
        <v>Еще фото</v>
      </c>
      <c r="F2353" s="13"/>
      <c r="G2353" s="24" t="s">
        <v>2198</v>
      </c>
      <c r="H2353" s="24" t="s">
        <v>27</v>
      </c>
      <c r="I2353" s="24" t="s">
        <v>2190</v>
      </c>
      <c r="J2353" s="14" t="s">
        <v>47</v>
      </c>
      <c r="K2353" s="15" t="s">
        <v>30</v>
      </c>
      <c r="L2353" s="58"/>
      <c r="M2353" s="14"/>
      <c r="N2353" s="14" t="s">
        <v>125</v>
      </c>
      <c r="O2353" s="14"/>
      <c r="P2353" s="15" t="s">
        <v>113</v>
      </c>
      <c r="Q2353" s="16">
        <v>8199</v>
      </c>
      <c r="R2353" s="17">
        <v>40</v>
      </c>
      <c r="S2353" s="18">
        <v>5657.3099999999995</v>
      </c>
      <c r="T2353" s="19" t="s">
        <v>36</v>
      </c>
      <c r="U2353" s="20" t="s">
        <v>104</v>
      </c>
      <c r="V2353" s="21" t="s">
        <v>105</v>
      </c>
      <c r="W2353" s="22">
        <v>4</v>
      </c>
      <c r="X2353" s="23"/>
    </row>
    <row r="2354" spans="1:24" s="1" customFormat="1" ht="35.1" customHeight="1" x14ac:dyDescent="0.3">
      <c r="A2354" s="11" t="s">
        <v>23</v>
      </c>
      <c r="B2354" s="11" t="s">
        <v>2651</v>
      </c>
      <c r="C2354" s="12" t="s">
        <v>2652</v>
      </c>
      <c r="D2354" s="53"/>
      <c r="E2354" s="39" t="str">
        <f>HYPERLINK("https://www.google.ru/search?q=1389567-114&amp;newwindow=1&amp;tbm=isch","Еще фото")</f>
        <v>Еще фото</v>
      </c>
      <c r="F2354" s="13"/>
      <c r="G2354" s="11" t="s">
        <v>2202</v>
      </c>
      <c r="H2354" s="11" t="s">
        <v>27</v>
      </c>
      <c r="I2354" s="14" t="s">
        <v>2190</v>
      </c>
      <c r="J2354" s="14" t="s">
        <v>29</v>
      </c>
      <c r="K2354" s="15" t="s">
        <v>64</v>
      </c>
      <c r="L2354" s="56" t="s">
        <v>2653</v>
      </c>
      <c r="M2354" s="14" t="s">
        <v>32</v>
      </c>
      <c r="N2354" s="14" t="s">
        <v>84</v>
      </c>
      <c r="O2354" s="14"/>
      <c r="P2354" s="15" t="s">
        <v>492</v>
      </c>
      <c r="Q2354" s="16">
        <v>14399</v>
      </c>
      <c r="R2354" s="17">
        <v>40</v>
      </c>
      <c r="S2354" s="18">
        <v>9935.31</v>
      </c>
      <c r="T2354" s="19" t="s">
        <v>36</v>
      </c>
      <c r="U2354" s="20" t="s">
        <v>69</v>
      </c>
      <c r="V2354" s="21" t="s">
        <v>70</v>
      </c>
      <c r="W2354" s="22">
        <v>2</v>
      </c>
      <c r="X2354" s="23"/>
    </row>
    <row r="2355" spans="1:24" s="1" customFormat="1" ht="35.1" customHeight="1" x14ac:dyDescent="0.3">
      <c r="A2355" s="24" t="s">
        <v>23</v>
      </c>
      <c r="B2355" s="24" t="s">
        <v>2651</v>
      </c>
      <c r="C2355" s="12" t="s">
        <v>2652</v>
      </c>
      <c r="D2355" s="54"/>
      <c r="E2355" s="39" t="str">
        <f>HYPERLINK("https://www.google.ru/search?q=1389567-114&amp;newwindow=1&amp;tbm=isch","Еще фото")</f>
        <v>Еще фото</v>
      </c>
      <c r="F2355" s="13"/>
      <c r="G2355" s="24" t="s">
        <v>2202</v>
      </c>
      <c r="H2355" s="24" t="s">
        <v>27</v>
      </c>
      <c r="I2355" s="24" t="s">
        <v>2190</v>
      </c>
      <c r="J2355" s="14" t="s">
        <v>29</v>
      </c>
      <c r="K2355" s="15" t="s">
        <v>64</v>
      </c>
      <c r="L2355" s="57"/>
      <c r="M2355" s="14" t="s">
        <v>32</v>
      </c>
      <c r="N2355" s="14" t="s">
        <v>84</v>
      </c>
      <c r="O2355" s="14"/>
      <c r="P2355" s="15" t="s">
        <v>492</v>
      </c>
      <c r="Q2355" s="16">
        <v>14399</v>
      </c>
      <c r="R2355" s="17">
        <v>40</v>
      </c>
      <c r="S2355" s="18">
        <v>9935.31</v>
      </c>
      <c r="T2355" s="19" t="s">
        <v>36</v>
      </c>
      <c r="U2355" s="20" t="s">
        <v>37</v>
      </c>
      <c r="V2355" s="21" t="s">
        <v>86</v>
      </c>
      <c r="W2355" s="22">
        <v>2</v>
      </c>
      <c r="X2355" s="23"/>
    </row>
    <row r="2356" spans="1:24" s="1" customFormat="1" ht="36.950000000000003" customHeight="1" x14ac:dyDescent="0.3">
      <c r="A2356" s="24" t="s">
        <v>23</v>
      </c>
      <c r="B2356" s="24" t="s">
        <v>2651</v>
      </c>
      <c r="C2356" s="12" t="s">
        <v>2652</v>
      </c>
      <c r="D2356" s="55"/>
      <c r="E2356" s="39" t="str">
        <f>HYPERLINK("https://www.google.ru/search?q=1389567-114&amp;newwindow=1&amp;tbm=isch","Еще фото")</f>
        <v>Еще фото</v>
      </c>
      <c r="F2356" s="13"/>
      <c r="G2356" s="24" t="s">
        <v>2202</v>
      </c>
      <c r="H2356" s="24" t="s">
        <v>27</v>
      </c>
      <c r="I2356" s="24" t="s">
        <v>2190</v>
      </c>
      <c r="J2356" s="14" t="s">
        <v>29</v>
      </c>
      <c r="K2356" s="15" t="s">
        <v>64</v>
      </c>
      <c r="L2356" s="58"/>
      <c r="M2356" s="14" t="s">
        <v>32</v>
      </c>
      <c r="N2356" s="14" t="s">
        <v>84</v>
      </c>
      <c r="O2356" s="14"/>
      <c r="P2356" s="15" t="s">
        <v>492</v>
      </c>
      <c r="Q2356" s="16">
        <v>14399</v>
      </c>
      <c r="R2356" s="17">
        <v>40</v>
      </c>
      <c r="S2356" s="18">
        <v>9935.31</v>
      </c>
      <c r="T2356" s="19" t="s">
        <v>36</v>
      </c>
      <c r="U2356" s="20" t="s">
        <v>39</v>
      </c>
      <c r="V2356" s="21" t="s">
        <v>38</v>
      </c>
      <c r="W2356" s="22">
        <v>1</v>
      </c>
      <c r="X2356" s="23"/>
    </row>
    <row r="2357" spans="1:24" s="1" customFormat="1" ht="26.1" customHeight="1" x14ac:dyDescent="0.3">
      <c r="A2357" s="11" t="s">
        <v>23</v>
      </c>
      <c r="B2357" s="11" t="s">
        <v>2654</v>
      </c>
      <c r="C2357" s="12" t="s">
        <v>2655</v>
      </c>
      <c r="D2357" s="53"/>
      <c r="E2357" s="39" t="str">
        <f>HYPERLINK("https://www.google.ru/search?q=1389916-100&amp;newwindow=1&amp;tbm=isch","Еще фото")</f>
        <v>Еще фото</v>
      </c>
      <c r="F2357" s="13"/>
      <c r="G2357" s="11" t="s">
        <v>2198</v>
      </c>
      <c r="H2357" s="11" t="s">
        <v>27</v>
      </c>
      <c r="I2357" s="14" t="s">
        <v>2190</v>
      </c>
      <c r="J2357" s="14" t="s">
        <v>47</v>
      </c>
      <c r="K2357" s="15" t="s">
        <v>30</v>
      </c>
      <c r="L2357" s="56" t="s">
        <v>2656</v>
      </c>
      <c r="M2357" s="14"/>
      <c r="N2357" s="14" t="s">
        <v>74</v>
      </c>
      <c r="O2357" s="14"/>
      <c r="P2357" s="15" t="s">
        <v>2315</v>
      </c>
      <c r="Q2357" s="16">
        <v>13299</v>
      </c>
      <c r="R2357" s="17">
        <v>40</v>
      </c>
      <c r="S2357" s="18">
        <v>9176.31</v>
      </c>
      <c r="T2357" s="19" t="s">
        <v>36</v>
      </c>
      <c r="U2357" s="20" t="s">
        <v>37</v>
      </c>
      <c r="V2357" s="21" t="s">
        <v>38</v>
      </c>
      <c r="W2357" s="22">
        <v>3</v>
      </c>
      <c r="X2357" s="23"/>
    </row>
    <row r="2358" spans="1:24" s="1" customFormat="1" ht="26.1" customHeight="1" x14ac:dyDescent="0.3">
      <c r="A2358" s="24" t="s">
        <v>23</v>
      </c>
      <c r="B2358" s="24" t="s">
        <v>2654</v>
      </c>
      <c r="C2358" s="12" t="s">
        <v>2655</v>
      </c>
      <c r="D2358" s="54"/>
      <c r="E2358" s="39" t="str">
        <f>HYPERLINK("https://www.google.ru/search?q=1389916-100&amp;newwindow=1&amp;tbm=isch","Еще фото")</f>
        <v>Еще фото</v>
      </c>
      <c r="F2358" s="13"/>
      <c r="G2358" s="24" t="s">
        <v>2198</v>
      </c>
      <c r="H2358" s="24" t="s">
        <v>27</v>
      </c>
      <c r="I2358" s="24" t="s">
        <v>2190</v>
      </c>
      <c r="J2358" s="14" t="s">
        <v>47</v>
      </c>
      <c r="K2358" s="15" t="s">
        <v>30</v>
      </c>
      <c r="L2358" s="57"/>
      <c r="M2358" s="14"/>
      <c r="N2358" s="14" t="s">
        <v>74</v>
      </c>
      <c r="O2358" s="14"/>
      <c r="P2358" s="15" t="s">
        <v>2315</v>
      </c>
      <c r="Q2358" s="16">
        <v>13299</v>
      </c>
      <c r="R2358" s="17">
        <v>40</v>
      </c>
      <c r="S2358" s="18">
        <v>9176.31</v>
      </c>
      <c r="T2358" s="19" t="s">
        <v>36</v>
      </c>
      <c r="U2358" s="20" t="s">
        <v>39</v>
      </c>
      <c r="V2358" s="21" t="s">
        <v>40</v>
      </c>
      <c r="W2358" s="22">
        <v>6</v>
      </c>
      <c r="X2358" s="23"/>
    </row>
    <row r="2359" spans="1:24" s="1" customFormat="1" ht="26.1" customHeight="1" x14ac:dyDescent="0.3">
      <c r="A2359" s="24" t="s">
        <v>23</v>
      </c>
      <c r="B2359" s="24" t="s">
        <v>2654</v>
      </c>
      <c r="C2359" s="12" t="s">
        <v>2655</v>
      </c>
      <c r="D2359" s="54"/>
      <c r="E2359" s="39" t="str">
        <f>HYPERLINK("https://www.google.ru/search?q=1389916-100&amp;newwindow=1&amp;tbm=isch","Еще фото")</f>
        <v>Еще фото</v>
      </c>
      <c r="F2359" s="13"/>
      <c r="G2359" s="24" t="s">
        <v>2198</v>
      </c>
      <c r="H2359" s="24" t="s">
        <v>27</v>
      </c>
      <c r="I2359" s="24" t="s">
        <v>2190</v>
      </c>
      <c r="J2359" s="14" t="s">
        <v>47</v>
      </c>
      <c r="K2359" s="15" t="s">
        <v>30</v>
      </c>
      <c r="L2359" s="57"/>
      <c r="M2359" s="14"/>
      <c r="N2359" s="14" t="s">
        <v>74</v>
      </c>
      <c r="O2359" s="14"/>
      <c r="P2359" s="15" t="s">
        <v>2315</v>
      </c>
      <c r="Q2359" s="16">
        <v>13299</v>
      </c>
      <c r="R2359" s="17">
        <v>40</v>
      </c>
      <c r="S2359" s="18">
        <v>9176.31</v>
      </c>
      <c r="T2359" s="19" t="s">
        <v>36</v>
      </c>
      <c r="U2359" s="20" t="s">
        <v>41</v>
      </c>
      <c r="V2359" s="21" t="s">
        <v>42</v>
      </c>
      <c r="W2359" s="22">
        <v>3</v>
      </c>
      <c r="X2359" s="23"/>
    </row>
    <row r="2360" spans="1:24" s="1" customFormat="1" ht="26.1" customHeight="1" x14ac:dyDescent="0.3">
      <c r="A2360" s="24" t="s">
        <v>23</v>
      </c>
      <c r="B2360" s="24" t="s">
        <v>2654</v>
      </c>
      <c r="C2360" s="12" t="s">
        <v>2655</v>
      </c>
      <c r="D2360" s="55"/>
      <c r="E2360" s="39" t="str">
        <f>HYPERLINK("https://www.google.ru/search?q=1389916-100&amp;newwindow=1&amp;tbm=isch","Еще фото")</f>
        <v>Еще фото</v>
      </c>
      <c r="F2360" s="13"/>
      <c r="G2360" s="24" t="s">
        <v>2198</v>
      </c>
      <c r="H2360" s="24" t="s">
        <v>27</v>
      </c>
      <c r="I2360" s="24" t="s">
        <v>2190</v>
      </c>
      <c r="J2360" s="14" t="s">
        <v>47</v>
      </c>
      <c r="K2360" s="15" t="s">
        <v>30</v>
      </c>
      <c r="L2360" s="58"/>
      <c r="M2360" s="14"/>
      <c r="N2360" s="14" t="s">
        <v>74</v>
      </c>
      <c r="O2360" s="14"/>
      <c r="P2360" s="15" t="s">
        <v>2315</v>
      </c>
      <c r="Q2360" s="16">
        <v>13299</v>
      </c>
      <c r="R2360" s="17">
        <v>40</v>
      </c>
      <c r="S2360" s="18">
        <v>9176.31</v>
      </c>
      <c r="T2360" s="19" t="s">
        <v>36</v>
      </c>
      <c r="U2360" s="20" t="s">
        <v>43</v>
      </c>
      <c r="V2360" s="21" t="s">
        <v>44</v>
      </c>
      <c r="W2360" s="22">
        <v>1</v>
      </c>
      <c r="X2360" s="23"/>
    </row>
    <row r="2361" spans="1:24" s="1" customFormat="1" ht="108" customHeight="1" x14ac:dyDescent="0.3">
      <c r="A2361" s="11" t="s">
        <v>23</v>
      </c>
      <c r="B2361" s="11" t="s">
        <v>2657</v>
      </c>
      <c r="C2361" s="12" t="s">
        <v>2658</v>
      </c>
      <c r="D2361" s="25"/>
      <c r="E2361" s="39" t="str">
        <f>HYPERLINK("https://www.google.ru/search?q=1389931-001&amp;newwindow=1&amp;tbm=isch","Еще фото")</f>
        <v>Еще фото</v>
      </c>
      <c r="F2361" s="13"/>
      <c r="G2361" s="11" t="s">
        <v>2202</v>
      </c>
      <c r="H2361" s="11" t="s">
        <v>27</v>
      </c>
      <c r="I2361" s="14" t="s">
        <v>2190</v>
      </c>
      <c r="J2361" s="14" t="s">
        <v>29</v>
      </c>
      <c r="K2361" s="15" t="s">
        <v>30</v>
      </c>
      <c r="L2361" s="14" t="s">
        <v>2659</v>
      </c>
      <c r="M2361" s="14" t="s">
        <v>32</v>
      </c>
      <c r="N2361" s="14" t="s">
        <v>33</v>
      </c>
      <c r="O2361" s="14"/>
      <c r="P2361" s="15" t="s">
        <v>51</v>
      </c>
      <c r="Q2361" s="16">
        <v>30899</v>
      </c>
      <c r="R2361" s="17">
        <v>40</v>
      </c>
      <c r="S2361" s="18">
        <v>21320.31</v>
      </c>
      <c r="T2361" s="19" t="s">
        <v>36</v>
      </c>
      <c r="U2361" s="20" t="s">
        <v>39</v>
      </c>
      <c r="V2361" s="21" t="s">
        <v>40</v>
      </c>
      <c r="W2361" s="22">
        <v>1</v>
      </c>
      <c r="X2361" s="23"/>
    </row>
    <row r="2362" spans="1:24" s="1" customFormat="1" ht="108" customHeight="1" x14ac:dyDescent="0.3">
      <c r="A2362" s="11" t="s">
        <v>23</v>
      </c>
      <c r="B2362" s="11" t="s">
        <v>2660</v>
      </c>
      <c r="C2362" s="12" t="s">
        <v>2661</v>
      </c>
      <c r="D2362" s="25"/>
      <c r="E2362" s="39" t="str">
        <f>HYPERLINK("https://www.google.ru/search?q=1389947-989&amp;newwindow=1&amp;tbm=isch","Еще фото")</f>
        <v>Еще фото</v>
      </c>
      <c r="F2362" s="13"/>
      <c r="G2362" s="11" t="s">
        <v>2258</v>
      </c>
      <c r="H2362" s="11" t="s">
        <v>27</v>
      </c>
      <c r="I2362" s="14" t="s">
        <v>2190</v>
      </c>
      <c r="J2362" s="14" t="s">
        <v>47</v>
      </c>
      <c r="K2362" s="15" t="s">
        <v>30</v>
      </c>
      <c r="L2362" s="14" t="s">
        <v>2662</v>
      </c>
      <c r="M2362" s="14"/>
      <c r="N2362" s="14" t="s">
        <v>140</v>
      </c>
      <c r="O2362" s="14"/>
      <c r="P2362" s="15" t="s">
        <v>2601</v>
      </c>
      <c r="Q2362" s="16">
        <v>8399</v>
      </c>
      <c r="R2362" s="17">
        <v>40</v>
      </c>
      <c r="S2362" s="18">
        <v>5795.3099999999995</v>
      </c>
      <c r="T2362" s="19" t="s">
        <v>36</v>
      </c>
      <c r="U2362" s="20" t="s">
        <v>39</v>
      </c>
      <c r="V2362" s="21" t="s">
        <v>40</v>
      </c>
      <c r="W2362" s="22">
        <v>2</v>
      </c>
      <c r="X2362" s="23"/>
    </row>
    <row r="2363" spans="1:24" s="1" customFormat="1" ht="35.1" customHeight="1" x14ac:dyDescent="0.3">
      <c r="A2363" s="11" t="s">
        <v>23</v>
      </c>
      <c r="B2363" s="11" t="s">
        <v>2663</v>
      </c>
      <c r="C2363" s="12" t="s">
        <v>2664</v>
      </c>
      <c r="D2363" s="53"/>
      <c r="E2363" s="39" t="str">
        <f>HYPERLINK("https://www.google.ru/search?q=1389986-362&amp;newwindow=1&amp;tbm=isch","Еще фото")</f>
        <v>Еще фото</v>
      </c>
      <c r="F2363" s="13"/>
      <c r="G2363" s="11" t="s">
        <v>2258</v>
      </c>
      <c r="H2363" s="11" t="s">
        <v>27</v>
      </c>
      <c r="I2363" s="14" t="s">
        <v>2190</v>
      </c>
      <c r="J2363" s="14" t="s">
        <v>47</v>
      </c>
      <c r="K2363" s="15" t="s">
        <v>30</v>
      </c>
      <c r="L2363" s="56" t="s">
        <v>2665</v>
      </c>
      <c r="M2363" s="14"/>
      <c r="N2363" s="14" t="s">
        <v>125</v>
      </c>
      <c r="O2363" s="14"/>
      <c r="P2363" s="15" t="s">
        <v>2601</v>
      </c>
      <c r="Q2363" s="16">
        <v>9299</v>
      </c>
      <c r="R2363" s="17">
        <v>40</v>
      </c>
      <c r="S2363" s="18">
        <v>6416.3099999999995</v>
      </c>
      <c r="T2363" s="19" t="s">
        <v>36</v>
      </c>
      <c r="U2363" s="20" t="s">
        <v>37</v>
      </c>
      <c r="V2363" s="21" t="s">
        <v>38</v>
      </c>
      <c r="W2363" s="22">
        <v>2</v>
      </c>
      <c r="X2363" s="23"/>
    </row>
    <row r="2364" spans="1:24" s="1" customFormat="1" ht="35.1" customHeight="1" x14ac:dyDescent="0.3">
      <c r="A2364" s="24" t="s">
        <v>23</v>
      </c>
      <c r="B2364" s="24" t="s">
        <v>2663</v>
      </c>
      <c r="C2364" s="12" t="s">
        <v>2664</v>
      </c>
      <c r="D2364" s="54"/>
      <c r="E2364" s="39" t="str">
        <f>HYPERLINK("https://www.google.ru/search?q=1389986-362&amp;newwindow=1&amp;tbm=isch","Еще фото")</f>
        <v>Еще фото</v>
      </c>
      <c r="F2364" s="13"/>
      <c r="G2364" s="24" t="s">
        <v>2258</v>
      </c>
      <c r="H2364" s="24" t="s">
        <v>27</v>
      </c>
      <c r="I2364" s="24" t="s">
        <v>2190</v>
      </c>
      <c r="J2364" s="14" t="s">
        <v>47</v>
      </c>
      <c r="K2364" s="15" t="s">
        <v>30</v>
      </c>
      <c r="L2364" s="57"/>
      <c r="M2364" s="14"/>
      <c r="N2364" s="14" t="s">
        <v>125</v>
      </c>
      <c r="O2364" s="14"/>
      <c r="P2364" s="15" t="s">
        <v>2601</v>
      </c>
      <c r="Q2364" s="16">
        <v>9299</v>
      </c>
      <c r="R2364" s="17">
        <v>40</v>
      </c>
      <c r="S2364" s="18">
        <v>6416.3099999999995</v>
      </c>
      <c r="T2364" s="19" t="s">
        <v>36</v>
      </c>
      <c r="U2364" s="20" t="s">
        <v>39</v>
      </c>
      <c r="V2364" s="21" t="s">
        <v>40</v>
      </c>
      <c r="W2364" s="22">
        <v>6</v>
      </c>
      <c r="X2364" s="23"/>
    </row>
    <row r="2365" spans="1:24" s="1" customFormat="1" ht="36.950000000000003" customHeight="1" x14ac:dyDescent="0.3">
      <c r="A2365" s="24" t="s">
        <v>23</v>
      </c>
      <c r="B2365" s="24" t="s">
        <v>2663</v>
      </c>
      <c r="C2365" s="12" t="s">
        <v>2664</v>
      </c>
      <c r="D2365" s="55"/>
      <c r="E2365" s="39" t="str">
        <f>HYPERLINK("https://www.google.ru/search?q=1389986-362&amp;newwindow=1&amp;tbm=isch","Еще фото")</f>
        <v>Еще фото</v>
      </c>
      <c r="F2365" s="13"/>
      <c r="G2365" s="24" t="s">
        <v>2258</v>
      </c>
      <c r="H2365" s="24" t="s">
        <v>27</v>
      </c>
      <c r="I2365" s="24" t="s">
        <v>2190</v>
      </c>
      <c r="J2365" s="14" t="s">
        <v>47</v>
      </c>
      <c r="K2365" s="15" t="s">
        <v>30</v>
      </c>
      <c r="L2365" s="58"/>
      <c r="M2365" s="14"/>
      <c r="N2365" s="14" t="s">
        <v>125</v>
      </c>
      <c r="O2365" s="14"/>
      <c r="P2365" s="15" t="s">
        <v>2601</v>
      </c>
      <c r="Q2365" s="16">
        <v>9299</v>
      </c>
      <c r="R2365" s="17">
        <v>40</v>
      </c>
      <c r="S2365" s="18">
        <v>6416.3099999999995</v>
      </c>
      <c r="T2365" s="19" t="s">
        <v>36</v>
      </c>
      <c r="U2365" s="20" t="s">
        <v>41</v>
      </c>
      <c r="V2365" s="21" t="s">
        <v>42</v>
      </c>
      <c r="W2365" s="22">
        <v>3</v>
      </c>
      <c r="X2365" s="23"/>
    </row>
    <row r="2366" spans="1:24" s="1" customFormat="1" ht="51.95" customHeight="1" x14ac:dyDescent="0.3">
      <c r="A2366" s="11" t="s">
        <v>23</v>
      </c>
      <c r="B2366" s="11" t="s">
        <v>2666</v>
      </c>
      <c r="C2366" s="12" t="s">
        <v>2667</v>
      </c>
      <c r="D2366" s="59"/>
      <c r="E2366" s="39" t="str">
        <f>HYPERLINK("https://www.google.ru/search?q=1389987-310&amp;newwindow=1&amp;tbm=isch","Еще фото")</f>
        <v>Еще фото</v>
      </c>
      <c r="F2366" s="13"/>
      <c r="G2366" s="11" t="s">
        <v>2258</v>
      </c>
      <c r="H2366" s="11" t="s">
        <v>27</v>
      </c>
      <c r="I2366" s="14" t="s">
        <v>2190</v>
      </c>
      <c r="J2366" s="14" t="s">
        <v>47</v>
      </c>
      <c r="K2366" s="15" t="s">
        <v>30</v>
      </c>
      <c r="L2366" s="56" t="s">
        <v>2665</v>
      </c>
      <c r="M2366" s="14"/>
      <c r="N2366" s="14" t="s">
        <v>125</v>
      </c>
      <c r="O2366" s="14"/>
      <c r="P2366" s="15" t="s">
        <v>2601</v>
      </c>
      <c r="Q2366" s="16">
        <v>8399</v>
      </c>
      <c r="R2366" s="17">
        <v>40</v>
      </c>
      <c r="S2366" s="18">
        <v>5795.3099999999995</v>
      </c>
      <c r="T2366" s="19" t="s">
        <v>36</v>
      </c>
      <c r="U2366" s="20" t="s">
        <v>37</v>
      </c>
      <c r="V2366" s="21" t="s">
        <v>38</v>
      </c>
      <c r="W2366" s="22">
        <v>1</v>
      </c>
      <c r="X2366" s="23"/>
    </row>
    <row r="2367" spans="1:24" s="1" customFormat="1" ht="60.95" customHeight="1" x14ac:dyDescent="0.3">
      <c r="A2367" s="24" t="s">
        <v>23</v>
      </c>
      <c r="B2367" s="24" t="s">
        <v>2666</v>
      </c>
      <c r="C2367" s="12" t="s">
        <v>2667</v>
      </c>
      <c r="D2367" s="60"/>
      <c r="E2367" s="39" t="str">
        <f>HYPERLINK("https://www.google.ru/search?q=1389987-310&amp;newwindow=1&amp;tbm=isch","Еще фото")</f>
        <v>Еще фото</v>
      </c>
      <c r="F2367" s="13"/>
      <c r="G2367" s="24" t="s">
        <v>2258</v>
      </c>
      <c r="H2367" s="24" t="s">
        <v>27</v>
      </c>
      <c r="I2367" s="24" t="s">
        <v>2190</v>
      </c>
      <c r="J2367" s="14" t="s">
        <v>47</v>
      </c>
      <c r="K2367" s="15" t="s">
        <v>30</v>
      </c>
      <c r="L2367" s="58"/>
      <c r="M2367" s="14"/>
      <c r="N2367" s="14" t="s">
        <v>125</v>
      </c>
      <c r="O2367" s="14"/>
      <c r="P2367" s="15" t="s">
        <v>2601</v>
      </c>
      <c r="Q2367" s="16">
        <v>8399</v>
      </c>
      <c r="R2367" s="17">
        <v>40</v>
      </c>
      <c r="S2367" s="18">
        <v>5795.3099999999995</v>
      </c>
      <c r="T2367" s="19" t="s">
        <v>36</v>
      </c>
      <c r="U2367" s="20" t="s">
        <v>104</v>
      </c>
      <c r="V2367" s="21" t="s">
        <v>105</v>
      </c>
      <c r="W2367" s="22">
        <v>1</v>
      </c>
      <c r="X2367" s="23"/>
    </row>
    <row r="2368" spans="1:24" s="1" customFormat="1" ht="108" customHeight="1" x14ac:dyDescent="0.3">
      <c r="A2368" s="11" t="s">
        <v>23</v>
      </c>
      <c r="B2368" s="11" t="s">
        <v>2668</v>
      </c>
      <c r="C2368" s="12" t="s">
        <v>2669</v>
      </c>
      <c r="D2368" s="25"/>
      <c r="E2368" s="39" t="str">
        <f>HYPERLINK("https://www.google.ru/search?q=1390140-410&amp;newwindow=1&amp;tbm=isch","Еще фото")</f>
        <v>Еще фото</v>
      </c>
      <c r="F2368" s="13"/>
      <c r="G2368" s="11" t="s">
        <v>2189</v>
      </c>
      <c r="H2368" s="11" t="s">
        <v>27</v>
      </c>
      <c r="I2368" s="14" t="s">
        <v>2190</v>
      </c>
      <c r="J2368" s="14" t="s">
        <v>47</v>
      </c>
      <c r="K2368" s="15" t="s">
        <v>30</v>
      </c>
      <c r="L2368" s="14" t="s">
        <v>2670</v>
      </c>
      <c r="M2368" s="14"/>
      <c r="N2368" s="14" t="s">
        <v>91</v>
      </c>
      <c r="O2368" s="14"/>
      <c r="P2368" s="15" t="s">
        <v>113</v>
      </c>
      <c r="Q2368" s="16">
        <v>7199</v>
      </c>
      <c r="R2368" s="17">
        <v>40</v>
      </c>
      <c r="S2368" s="18">
        <v>4967.3099999999995</v>
      </c>
      <c r="T2368" s="19" t="s">
        <v>36</v>
      </c>
      <c r="U2368" s="20" t="s">
        <v>41</v>
      </c>
      <c r="V2368" s="21" t="s">
        <v>42</v>
      </c>
      <c r="W2368" s="22">
        <v>1</v>
      </c>
      <c r="X2368" s="23"/>
    </row>
    <row r="2369" spans="1:24" s="1" customFormat="1" ht="108" customHeight="1" x14ac:dyDescent="0.3">
      <c r="A2369" s="11" t="s">
        <v>23</v>
      </c>
      <c r="B2369" s="11" t="s">
        <v>2671</v>
      </c>
      <c r="C2369" s="12" t="s">
        <v>2672</v>
      </c>
      <c r="D2369" s="25"/>
      <c r="E2369" s="39" t="str">
        <f>HYPERLINK("https://www.google.ru/search?q=1390149-390&amp;newwindow=1&amp;tbm=isch","Еще фото")</f>
        <v>Еще фото</v>
      </c>
      <c r="F2369" s="13" t="s">
        <v>98</v>
      </c>
      <c r="G2369" s="11" t="s">
        <v>2202</v>
      </c>
      <c r="H2369" s="11" t="s">
        <v>27</v>
      </c>
      <c r="I2369" s="14" t="s">
        <v>2190</v>
      </c>
      <c r="J2369" s="14" t="s">
        <v>47</v>
      </c>
      <c r="K2369" s="15" t="s">
        <v>30</v>
      </c>
      <c r="L2369" s="14" t="s">
        <v>2673</v>
      </c>
      <c r="M2369" s="14" t="s">
        <v>32</v>
      </c>
      <c r="N2369" s="14" t="s">
        <v>125</v>
      </c>
      <c r="O2369" s="14"/>
      <c r="P2369" s="15" t="s">
        <v>133</v>
      </c>
      <c r="Q2369" s="16">
        <v>6599</v>
      </c>
      <c r="R2369" s="17">
        <v>40</v>
      </c>
      <c r="S2369" s="18">
        <v>4553.3099999999995</v>
      </c>
      <c r="T2369" s="19" t="s">
        <v>36</v>
      </c>
      <c r="U2369" s="20" t="s">
        <v>37</v>
      </c>
      <c r="V2369" s="21" t="s">
        <v>38</v>
      </c>
      <c r="W2369" s="22">
        <v>5</v>
      </c>
      <c r="X2369" s="23"/>
    </row>
    <row r="2370" spans="1:24" s="1" customFormat="1" ht="108" customHeight="1" x14ac:dyDescent="0.3">
      <c r="A2370" s="11" t="s">
        <v>23</v>
      </c>
      <c r="B2370" s="11" t="s">
        <v>2671</v>
      </c>
      <c r="C2370" s="12" t="s">
        <v>2674</v>
      </c>
      <c r="D2370" s="25"/>
      <c r="E2370" s="39" t="str">
        <f>HYPERLINK("https://www.google.ru/search?q=1390149-410&amp;newwindow=1&amp;tbm=isch","Еще фото")</f>
        <v>Еще фото</v>
      </c>
      <c r="F2370" s="13" t="s">
        <v>98</v>
      </c>
      <c r="G2370" s="11" t="s">
        <v>2202</v>
      </c>
      <c r="H2370" s="11" t="s">
        <v>27</v>
      </c>
      <c r="I2370" s="14" t="s">
        <v>2190</v>
      </c>
      <c r="J2370" s="14" t="s">
        <v>47</v>
      </c>
      <c r="K2370" s="15" t="s">
        <v>30</v>
      </c>
      <c r="L2370" s="14" t="s">
        <v>2673</v>
      </c>
      <c r="M2370" s="14" t="s">
        <v>32</v>
      </c>
      <c r="N2370" s="14" t="s">
        <v>91</v>
      </c>
      <c r="O2370" s="14"/>
      <c r="P2370" s="15" t="s">
        <v>133</v>
      </c>
      <c r="Q2370" s="16">
        <v>6999</v>
      </c>
      <c r="R2370" s="17">
        <v>40</v>
      </c>
      <c r="S2370" s="18">
        <v>4829.3099999999995</v>
      </c>
      <c r="T2370" s="19" t="s">
        <v>36</v>
      </c>
      <c r="U2370" s="20" t="s">
        <v>37</v>
      </c>
      <c r="V2370" s="21" t="s">
        <v>38</v>
      </c>
      <c r="W2370" s="22">
        <v>5</v>
      </c>
      <c r="X2370" s="23"/>
    </row>
    <row r="2371" spans="1:24" s="1" customFormat="1" ht="35.1" customHeight="1" x14ac:dyDescent="0.3">
      <c r="A2371" s="11" t="s">
        <v>23</v>
      </c>
      <c r="B2371" s="11" t="s">
        <v>2267</v>
      </c>
      <c r="C2371" s="12" t="s">
        <v>2675</v>
      </c>
      <c r="D2371" s="53"/>
      <c r="E2371" s="39" t="str">
        <f>HYPERLINK("https://www.google.ru/search?q=1390154-001&amp;newwindow=1&amp;tbm=isch","Еще фото")</f>
        <v>Еще фото</v>
      </c>
      <c r="F2371" s="13"/>
      <c r="G2371" s="11" t="s">
        <v>2202</v>
      </c>
      <c r="H2371" s="11" t="s">
        <v>27</v>
      </c>
      <c r="I2371" s="14" t="s">
        <v>2190</v>
      </c>
      <c r="J2371" s="14" t="s">
        <v>47</v>
      </c>
      <c r="K2371" s="15" t="s">
        <v>54</v>
      </c>
      <c r="L2371" s="56" t="s">
        <v>2269</v>
      </c>
      <c r="M2371" s="14"/>
      <c r="N2371" s="14" t="s">
        <v>33</v>
      </c>
      <c r="O2371" s="14"/>
      <c r="P2371" s="15" t="s">
        <v>133</v>
      </c>
      <c r="Q2371" s="16">
        <v>6399</v>
      </c>
      <c r="R2371" s="17">
        <v>40</v>
      </c>
      <c r="S2371" s="18">
        <v>4415.3099999999995</v>
      </c>
      <c r="T2371" s="19" t="s">
        <v>36</v>
      </c>
      <c r="U2371" s="20" t="s">
        <v>114</v>
      </c>
      <c r="V2371" s="21" t="s">
        <v>115</v>
      </c>
      <c r="W2371" s="22">
        <v>4</v>
      </c>
      <c r="X2371" s="23"/>
    </row>
    <row r="2372" spans="1:24" s="1" customFormat="1" ht="35.1" customHeight="1" x14ac:dyDescent="0.3">
      <c r="A2372" s="24" t="s">
        <v>23</v>
      </c>
      <c r="B2372" s="24" t="s">
        <v>2267</v>
      </c>
      <c r="C2372" s="12" t="s">
        <v>2675</v>
      </c>
      <c r="D2372" s="54"/>
      <c r="E2372" s="39" t="str">
        <f>HYPERLINK("https://www.google.ru/search?q=1390154-001&amp;newwindow=1&amp;tbm=isch","Еще фото")</f>
        <v>Еще фото</v>
      </c>
      <c r="F2372" s="13"/>
      <c r="G2372" s="24" t="s">
        <v>2202</v>
      </c>
      <c r="H2372" s="24" t="s">
        <v>27</v>
      </c>
      <c r="I2372" s="24" t="s">
        <v>2190</v>
      </c>
      <c r="J2372" s="14" t="s">
        <v>47</v>
      </c>
      <c r="K2372" s="15" t="s">
        <v>54</v>
      </c>
      <c r="L2372" s="57"/>
      <c r="M2372" s="14"/>
      <c r="N2372" s="14" t="s">
        <v>33</v>
      </c>
      <c r="O2372" s="14"/>
      <c r="P2372" s="15" t="s">
        <v>133</v>
      </c>
      <c r="Q2372" s="16">
        <v>6399</v>
      </c>
      <c r="R2372" s="17">
        <v>40</v>
      </c>
      <c r="S2372" s="18">
        <v>4415.3099999999995</v>
      </c>
      <c r="T2372" s="19" t="s">
        <v>36</v>
      </c>
      <c r="U2372" s="20" t="s">
        <v>126</v>
      </c>
      <c r="V2372" s="21" t="s">
        <v>127</v>
      </c>
      <c r="W2372" s="22">
        <v>4</v>
      </c>
      <c r="X2372" s="23"/>
    </row>
    <row r="2373" spans="1:24" s="1" customFormat="1" ht="36.950000000000003" customHeight="1" x14ac:dyDescent="0.3">
      <c r="A2373" s="24" t="s">
        <v>23</v>
      </c>
      <c r="B2373" s="24" t="s">
        <v>2267</v>
      </c>
      <c r="C2373" s="12" t="s">
        <v>2675</v>
      </c>
      <c r="D2373" s="55"/>
      <c r="E2373" s="39" t="str">
        <f>HYPERLINK("https://www.google.ru/search?q=1390154-001&amp;newwindow=1&amp;tbm=isch","Еще фото")</f>
        <v>Еще фото</v>
      </c>
      <c r="F2373" s="13"/>
      <c r="G2373" s="24" t="s">
        <v>2202</v>
      </c>
      <c r="H2373" s="24" t="s">
        <v>27</v>
      </c>
      <c r="I2373" s="24" t="s">
        <v>2190</v>
      </c>
      <c r="J2373" s="14" t="s">
        <v>47</v>
      </c>
      <c r="K2373" s="15" t="s">
        <v>54</v>
      </c>
      <c r="L2373" s="58"/>
      <c r="M2373" s="14"/>
      <c r="N2373" s="14" t="s">
        <v>33</v>
      </c>
      <c r="O2373" s="14"/>
      <c r="P2373" s="15" t="s">
        <v>133</v>
      </c>
      <c r="Q2373" s="16">
        <v>6399</v>
      </c>
      <c r="R2373" s="17">
        <v>40</v>
      </c>
      <c r="S2373" s="18">
        <v>4415.3099999999995</v>
      </c>
      <c r="T2373" s="19" t="s">
        <v>36</v>
      </c>
      <c r="U2373" s="20" t="s">
        <v>128</v>
      </c>
      <c r="V2373" s="21" t="s">
        <v>129</v>
      </c>
      <c r="W2373" s="22">
        <v>4</v>
      </c>
      <c r="X2373" s="23"/>
    </row>
    <row r="2374" spans="1:24" s="1" customFormat="1" ht="35.1" customHeight="1" x14ac:dyDescent="0.3">
      <c r="A2374" s="11" t="s">
        <v>23</v>
      </c>
      <c r="B2374" s="11" t="s">
        <v>2267</v>
      </c>
      <c r="C2374" s="12" t="s">
        <v>2676</v>
      </c>
      <c r="D2374" s="53"/>
      <c r="E2374" s="39" t="str">
        <f>HYPERLINK("https://www.google.ru/search?q=1390154-410&amp;newwindow=1&amp;tbm=isch","Еще фото")</f>
        <v>Еще фото</v>
      </c>
      <c r="F2374" s="13"/>
      <c r="G2374" s="11" t="s">
        <v>2202</v>
      </c>
      <c r="H2374" s="11" t="s">
        <v>27</v>
      </c>
      <c r="I2374" s="14" t="s">
        <v>2190</v>
      </c>
      <c r="J2374" s="14" t="s">
        <v>47</v>
      </c>
      <c r="K2374" s="15" t="s">
        <v>54</v>
      </c>
      <c r="L2374" s="56" t="s">
        <v>2269</v>
      </c>
      <c r="M2374" s="14"/>
      <c r="N2374" s="14" t="s">
        <v>91</v>
      </c>
      <c r="O2374" s="14"/>
      <c r="P2374" s="15" t="s">
        <v>133</v>
      </c>
      <c r="Q2374" s="16">
        <v>6399</v>
      </c>
      <c r="R2374" s="17">
        <v>40</v>
      </c>
      <c r="S2374" s="18">
        <v>4415.3099999999995</v>
      </c>
      <c r="T2374" s="19" t="s">
        <v>36</v>
      </c>
      <c r="U2374" s="20" t="s">
        <v>114</v>
      </c>
      <c r="V2374" s="21" t="s">
        <v>115</v>
      </c>
      <c r="W2374" s="22">
        <v>4</v>
      </c>
      <c r="X2374" s="23"/>
    </row>
    <row r="2375" spans="1:24" s="1" customFormat="1" ht="35.1" customHeight="1" x14ac:dyDescent="0.3">
      <c r="A2375" s="24" t="s">
        <v>23</v>
      </c>
      <c r="B2375" s="24" t="s">
        <v>2267</v>
      </c>
      <c r="C2375" s="12" t="s">
        <v>2676</v>
      </c>
      <c r="D2375" s="54"/>
      <c r="E2375" s="39" t="str">
        <f>HYPERLINK("https://www.google.ru/search?q=1390154-410&amp;newwindow=1&amp;tbm=isch","Еще фото")</f>
        <v>Еще фото</v>
      </c>
      <c r="F2375" s="13"/>
      <c r="G2375" s="24" t="s">
        <v>2202</v>
      </c>
      <c r="H2375" s="24" t="s">
        <v>27</v>
      </c>
      <c r="I2375" s="24" t="s">
        <v>2190</v>
      </c>
      <c r="J2375" s="14" t="s">
        <v>47</v>
      </c>
      <c r="K2375" s="15" t="s">
        <v>54</v>
      </c>
      <c r="L2375" s="57"/>
      <c r="M2375" s="14"/>
      <c r="N2375" s="14" t="s">
        <v>91</v>
      </c>
      <c r="O2375" s="14"/>
      <c r="P2375" s="15" t="s">
        <v>133</v>
      </c>
      <c r="Q2375" s="16">
        <v>6399</v>
      </c>
      <c r="R2375" s="17">
        <v>40</v>
      </c>
      <c r="S2375" s="18">
        <v>4415.3099999999995</v>
      </c>
      <c r="T2375" s="19" t="s">
        <v>36</v>
      </c>
      <c r="U2375" s="20" t="s">
        <v>126</v>
      </c>
      <c r="V2375" s="21" t="s">
        <v>127</v>
      </c>
      <c r="W2375" s="22">
        <v>4</v>
      </c>
      <c r="X2375" s="23"/>
    </row>
    <row r="2376" spans="1:24" s="1" customFormat="1" ht="36.950000000000003" customHeight="1" x14ac:dyDescent="0.3">
      <c r="A2376" s="24" t="s">
        <v>23</v>
      </c>
      <c r="B2376" s="24" t="s">
        <v>2267</v>
      </c>
      <c r="C2376" s="12" t="s">
        <v>2676</v>
      </c>
      <c r="D2376" s="55"/>
      <c r="E2376" s="39" t="str">
        <f>HYPERLINK("https://www.google.ru/search?q=1390154-410&amp;newwindow=1&amp;tbm=isch","Еще фото")</f>
        <v>Еще фото</v>
      </c>
      <c r="F2376" s="13"/>
      <c r="G2376" s="24" t="s">
        <v>2202</v>
      </c>
      <c r="H2376" s="24" t="s">
        <v>27</v>
      </c>
      <c r="I2376" s="24" t="s">
        <v>2190</v>
      </c>
      <c r="J2376" s="14" t="s">
        <v>47</v>
      </c>
      <c r="K2376" s="15" t="s">
        <v>54</v>
      </c>
      <c r="L2376" s="58"/>
      <c r="M2376" s="14"/>
      <c r="N2376" s="14" t="s">
        <v>91</v>
      </c>
      <c r="O2376" s="14"/>
      <c r="P2376" s="15" t="s">
        <v>133</v>
      </c>
      <c r="Q2376" s="16">
        <v>6399</v>
      </c>
      <c r="R2376" s="17">
        <v>40</v>
      </c>
      <c r="S2376" s="18">
        <v>4415.3099999999995</v>
      </c>
      <c r="T2376" s="19" t="s">
        <v>36</v>
      </c>
      <c r="U2376" s="20" t="s">
        <v>59</v>
      </c>
      <c r="V2376" s="21" t="s">
        <v>60</v>
      </c>
      <c r="W2376" s="22">
        <v>1</v>
      </c>
      <c r="X2376" s="23"/>
    </row>
    <row r="2377" spans="1:24" s="1" customFormat="1" ht="35.1" customHeight="1" x14ac:dyDescent="0.3">
      <c r="A2377" s="11" t="s">
        <v>23</v>
      </c>
      <c r="B2377" s="11" t="s">
        <v>2677</v>
      </c>
      <c r="C2377" s="12" t="s">
        <v>2678</v>
      </c>
      <c r="D2377" s="53"/>
      <c r="E2377" s="39" t="str">
        <f>HYPERLINK("https://www.google.ru/search?q=1390287-001&amp;newwindow=1&amp;tbm=isch","Еще фото")</f>
        <v>Еще фото</v>
      </c>
      <c r="F2377" s="13" t="s">
        <v>310</v>
      </c>
      <c r="G2377" s="11" t="s">
        <v>2202</v>
      </c>
      <c r="H2377" s="11" t="s">
        <v>27</v>
      </c>
      <c r="I2377" s="14" t="s">
        <v>2190</v>
      </c>
      <c r="J2377" s="14" t="s">
        <v>47</v>
      </c>
      <c r="K2377" s="15" t="s">
        <v>30</v>
      </c>
      <c r="L2377" s="56" t="s">
        <v>2679</v>
      </c>
      <c r="M2377" s="14" t="s">
        <v>32</v>
      </c>
      <c r="N2377" s="14" t="s">
        <v>33</v>
      </c>
      <c r="O2377" s="14"/>
      <c r="P2377" s="15" t="s">
        <v>492</v>
      </c>
      <c r="Q2377" s="16">
        <v>16599</v>
      </c>
      <c r="R2377" s="17">
        <v>40</v>
      </c>
      <c r="S2377" s="18">
        <v>11453.31</v>
      </c>
      <c r="T2377" s="19" t="s">
        <v>36</v>
      </c>
      <c r="U2377" s="20" t="s">
        <v>39</v>
      </c>
      <c r="V2377" s="21" t="s">
        <v>40</v>
      </c>
      <c r="W2377" s="22">
        <v>7</v>
      </c>
      <c r="X2377" s="23"/>
    </row>
    <row r="2378" spans="1:24" s="1" customFormat="1" ht="35.1" customHeight="1" x14ac:dyDescent="0.3">
      <c r="A2378" s="24" t="s">
        <v>23</v>
      </c>
      <c r="B2378" s="24" t="s">
        <v>2677</v>
      </c>
      <c r="C2378" s="12" t="s">
        <v>2678</v>
      </c>
      <c r="D2378" s="54"/>
      <c r="E2378" s="39" t="str">
        <f>HYPERLINK("https://www.google.ru/search?q=1390287-001&amp;newwindow=1&amp;tbm=isch","Еще фото")</f>
        <v>Еще фото</v>
      </c>
      <c r="F2378" s="13" t="s">
        <v>310</v>
      </c>
      <c r="G2378" s="24" t="s">
        <v>2202</v>
      </c>
      <c r="H2378" s="24" t="s">
        <v>27</v>
      </c>
      <c r="I2378" s="24" t="s">
        <v>2190</v>
      </c>
      <c r="J2378" s="14" t="s">
        <v>47</v>
      </c>
      <c r="K2378" s="15" t="s">
        <v>30</v>
      </c>
      <c r="L2378" s="57"/>
      <c r="M2378" s="14" t="s">
        <v>32</v>
      </c>
      <c r="N2378" s="14" t="s">
        <v>33</v>
      </c>
      <c r="O2378" s="14"/>
      <c r="P2378" s="15" t="s">
        <v>492</v>
      </c>
      <c r="Q2378" s="16">
        <v>16599</v>
      </c>
      <c r="R2378" s="17">
        <v>40</v>
      </c>
      <c r="S2378" s="18">
        <v>11453.31</v>
      </c>
      <c r="T2378" s="19" t="s">
        <v>36</v>
      </c>
      <c r="U2378" s="20" t="s">
        <v>41</v>
      </c>
      <c r="V2378" s="21" t="s">
        <v>42</v>
      </c>
      <c r="W2378" s="22">
        <v>2</v>
      </c>
      <c r="X2378" s="23"/>
    </row>
    <row r="2379" spans="1:24" s="1" customFormat="1" ht="36.950000000000003" customHeight="1" x14ac:dyDescent="0.3">
      <c r="A2379" s="24" t="s">
        <v>23</v>
      </c>
      <c r="B2379" s="24" t="s">
        <v>2677</v>
      </c>
      <c r="C2379" s="12" t="s">
        <v>2678</v>
      </c>
      <c r="D2379" s="55"/>
      <c r="E2379" s="39" t="str">
        <f>HYPERLINK("https://www.google.ru/search?q=1390287-001&amp;newwindow=1&amp;tbm=isch","Еще фото")</f>
        <v>Еще фото</v>
      </c>
      <c r="F2379" s="13" t="s">
        <v>310</v>
      </c>
      <c r="G2379" s="24" t="s">
        <v>2202</v>
      </c>
      <c r="H2379" s="24" t="s">
        <v>27</v>
      </c>
      <c r="I2379" s="24" t="s">
        <v>2190</v>
      </c>
      <c r="J2379" s="14" t="s">
        <v>47</v>
      </c>
      <c r="K2379" s="15" t="s">
        <v>30</v>
      </c>
      <c r="L2379" s="58"/>
      <c r="M2379" s="14" t="s">
        <v>32</v>
      </c>
      <c r="N2379" s="14" t="s">
        <v>33</v>
      </c>
      <c r="O2379" s="14"/>
      <c r="P2379" s="15" t="s">
        <v>492</v>
      </c>
      <c r="Q2379" s="16">
        <v>16599</v>
      </c>
      <c r="R2379" s="17">
        <v>40</v>
      </c>
      <c r="S2379" s="18">
        <v>11453.31</v>
      </c>
      <c r="T2379" s="19" t="s">
        <v>36</v>
      </c>
      <c r="U2379" s="20" t="s">
        <v>43</v>
      </c>
      <c r="V2379" s="21" t="s">
        <v>44</v>
      </c>
      <c r="W2379" s="22">
        <v>1</v>
      </c>
      <c r="X2379" s="23"/>
    </row>
    <row r="2380" spans="1:24" s="1" customFormat="1" ht="108" customHeight="1" x14ac:dyDescent="0.3">
      <c r="A2380" s="11" t="s">
        <v>23</v>
      </c>
      <c r="B2380" s="11" t="s">
        <v>2419</v>
      </c>
      <c r="C2380" s="12" t="s">
        <v>2680</v>
      </c>
      <c r="D2380" s="25"/>
      <c r="E2380" s="39" t="str">
        <f>HYPERLINK("https://www.google.ru/search?q=1390298-390&amp;newwindow=1&amp;tbm=isch","Еще фото")</f>
        <v>Еще фото</v>
      </c>
      <c r="F2380" s="13"/>
      <c r="G2380" s="11" t="s">
        <v>2198</v>
      </c>
      <c r="H2380" s="11" t="s">
        <v>27</v>
      </c>
      <c r="I2380" s="14" t="s">
        <v>2190</v>
      </c>
      <c r="J2380" s="14" t="s">
        <v>47</v>
      </c>
      <c r="K2380" s="15" t="s">
        <v>30</v>
      </c>
      <c r="L2380" s="14" t="s">
        <v>2421</v>
      </c>
      <c r="M2380" s="14"/>
      <c r="N2380" s="14" t="s">
        <v>125</v>
      </c>
      <c r="O2380" s="14"/>
      <c r="P2380" s="15" t="s">
        <v>113</v>
      </c>
      <c r="Q2380" s="16">
        <v>9799</v>
      </c>
      <c r="R2380" s="17">
        <v>40</v>
      </c>
      <c r="S2380" s="18">
        <v>6761.3099999999995</v>
      </c>
      <c r="T2380" s="19" t="s">
        <v>36</v>
      </c>
      <c r="U2380" s="20" t="s">
        <v>41</v>
      </c>
      <c r="V2380" s="21" t="s">
        <v>42</v>
      </c>
      <c r="W2380" s="22">
        <v>2</v>
      </c>
      <c r="X2380" s="23"/>
    </row>
    <row r="2381" spans="1:24" s="1" customFormat="1" ht="51.95" customHeight="1" x14ac:dyDescent="0.3">
      <c r="A2381" s="11" t="s">
        <v>23</v>
      </c>
      <c r="B2381" s="11" t="s">
        <v>2681</v>
      </c>
      <c r="C2381" s="12" t="s">
        <v>2682</v>
      </c>
      <c r="D2381" s="59"/>
      <c r="E2381" s="39" t="str">
        <f>HYPERLINK("https://www.google.ru/search?q=6003001-025&amp;newwindow=1&amp;tbm=isch","Еще фото")</f>
        <v>Еще фото</v>
      </c>
      <c r="F2381" s="13" t="s">
        <v>98</v>
      </c>
      <c r="G2381" s="11" t="s">
        <v>2202</v>
      </c>
      <c r="H2381" s="11" t="s">
        <v>27</v>
      </c>
      <c r="I2381" s="14" t="s">
        <v>2190</v>
      </c>
      <c r="J2381" s="14" t="s">
        <v>47</v>
      </c>
      <c r="K2381" s="15" t="s">
        <v>30</v>
      </c>
      <c r="L2381" s="56" t="s">
        <v>2683</v>
      </c>
      <c r="M2381" s="14" t="s">
        <v>32</v>
      </c>
      <c r="N2381" s="14" t="s">
        <v>84</v>
      </c>
      <c r="O2381" s="14"/>
      <c r="P2381" s="15" t="s">
        <v>279</v>
      </c>
      <c r="Q2381" s="16">
        <v>9999</v>
      </c>
      <c r="R2381" s="17">
        <v>40</v>
      </c>
      <c r="S2381" s="18">
        <v>6899.3099999999995</v>
      </c>
      <c r="T2381" s="19" t="s">
        <v>36</v>
      </c>
      <c r="U2381" s="20" t="s">
        <v>37</v>
      </c>
      <c r="V2381" s="21" t="s">
        <v>38</v>
      </c>
      <c r="W2381" s="22">
        <v>5</v>
      </c>
      <c r="X2381" s="23"/>
    </row>
    <row r="2382" spans="1:24" s="1" customFormat="1" ht="60.95" customHeight="1" x14ac:dyDescent="0.3">
      <c r="A2382" s="24" t="s">
        <v>23</v>
      </c>
      <c r="B2382" s="24" t="s">
        <v>2681</v>
      </c>
      <c r="C2382" s="12" t="s">
        <v>2682</v>
      </c>
      <c r="D2382" s="60"/>
      <c r="E2382" s="39" t="str">
        <f>HYPERLINK("https://www.google.ru/search?q=6003001-025&amp;newwindow=1&amp;tbm=isch","Еще фото")</f>
        <v>Еще фото</v>
      </c>
      <c r="F2382" s="13" t="s">
        <v>98</v>
      </c>
      <c r="G2382" s="24" t="s">
        <v>2202</v>
      </c>
      <c r="H2382" s="24" t="s">
        <v>27</v>
      </c>
      <c r="I2382" s="24" t="s">
        <v>2190</v>
      </c>
      <c r="J2382" s="14" t="s">
        <v>47</v>
      </c>
      <c r="K2382" s="15" t="s">
        <v>30</v>
      </c>
      <c r="L2382" s="58"/>
      <c r="M2382" s="14" t="s">
        <v>32</v>
      </c>
      <c r="N2382" s="14" t="s">
        <v>84</v>
      </c>
      <c r="O2382" s="14"/>
      <c r="P2382" s="15" t="s">
        <v>279</v>
      </c>
      <c r="Q2382" s="16">
        <v>9999</v>
      </c>
      <c r="R2382" s="17">
        <v>40</v>
      </c>
      <c r="S2382" s="18">
        <v>6899.3099999999995</v>
      </c>
      <c r="T2382" s="19" t="s">
        <v>36</v>
      </c>
      <c r="U2382" s="20" t="s">
        <v>39</v>
      </c>
      <c r="V2382" s="21" t="s">
        <v>40</v>
      </c>
      <c r="W2382" s="22">
        <v>8</v>
      </c>
      <c r="X2382" s="23"/>
    </row>
    <row r="2383" spans="1:24" s="1" customFormat="1" ht="26.1" customHeight="1" x14ac:dyDescent="0.3">
      <c r="A2383" s="11" t="s">
        <v>23</v>
      </c>
      <c r="B2383" s="11" t="s">
        <v>2681</v>
      </c>
      <c r="C2383" s="12" t="s">
        <v>2684</v>
      </c>
      <c r="D2383" s="53"/>
      <c r="E2383" s="39" t="str">
        <f>HYPERLINK("https://www.google.ru/search?q=6003001-289&amp;newwindow=1&amp;tbm=isch","Еще фото")</f>
        <v>Еще фото</v>
      </c>
      <c r="F2383" s="13"/>
      <c r="G2383" s="11" t="s">
        <v>2202</v>
      </c>
      <c r="H2383" s="11" t="s">
        <v>27</v>
      </c>
      <c r="I2383" s="14" t="s">
        <v>2190</v>
      </c>
      <c r="J2383" s="14" t="s">
        <v>47</v>
      </c>
      <c r="K2383" s="15" t="s">
        <v>30</v>
      </c>
      <c r="L2383" s="56" t="s">
        <v>2683</v>
      </c>
      <c r="M2383" s="14" t="s">
        <v>32</v>
      </c>
      <c r="N2383" s="14" t="s">
        <v>215</v>
      </c>
      <c r="O2383" s="14"/>
      <c r="P2383" s="15" t="s">
        <v>279</v>
      </c>
      <c r="Q2383" s="16">
        <v>9999</v>
      </c>
      <c r="R2383" s="17">
        <v>40</v>
      </c>
      <c r="S2383" s="18">
        <v>6899.3099999999995</v>
      </c>
      <c r="T2383" s="19" t="s">
        <v>36</v>
      </c>
      <c r="U2383" s="20" t="s">
        <v>37</v>
      </c>
      <c r="V2383" s="21" t="s">
        <v>38</v>
      </c>
      <c r="W2383" s="22">
        <v>1</v>
      </c>
      <c r="X2383" s="23"/>
    </row>
    <row r="2384" spans="1:24" s="1" customFormat="1" ht="26.1" customHeight="1" x14ac:dyDescent="0.3">
      <c r="A2384" s="24" t="s">
        <v>23</v>
      </c>
      <c r="B2384" s="24" t="s">
        <v>2681</v>
      </c>
      <c r="C2384" s="12" t="s">
        <v>2684</v>
      </c>
      <c r="D2384" s="54"/>
      <c r="E2384" s="39" t="str">
        <f>HYPERLINK("https://www.google.ru/search?q=6003001-289&amp;newwindow=1&amp;tbm=isch","Еще фото")</f>
        <v>Еще фото</v>
      </c>
      <c r="F2384" s="13"/>
      <c r="G2384" s="24" t="s">
        <v>2202</v>
      </c>
      <c r="H2384" s="24" t="s">
        <v>27</v>
      </c>
      <c r="I2384" s="24" t="s">
        <v>2190</v>
      </c>
      <c r="J2384" s="14" t="s">
        <v>47</v>
      </c>
      <c r="K2384" s="15" t="s">
        <v>30</v>
      </c>
      <c r="L2384" s="57"/>
      <c r="M2384" s="14" t="s">
        <v>32</v>
      </c>
      <c r="N2384" s="14" t="s">
        <v>215</v>
      </c>
      <c r="O2384" s="14"/>
      <c r="P2384" s="15" t="s">
        <v>279</v>
      </c>
      <c r="Q2384" s="16">
        <v>9999</v>
      </c>
      <c r="R2384" s="17">
        <v>40</v>
      </c>
      <c r="S2384" s="18">
        <v>6899.3099999999995</v>
      </c>
      <c r="T2384" s="19" t="s">
        <v>36</v>
      </c>
      <c r="U2384" s="20" t="s">
        <v>39</v>
      </c>
      <c r="V2384" s="21" t="s">
        <v>40</v>
      </c>
      <c r="W2384" s="22">
        <v>16</v>
      </c>
      <c r="X2384" s="23"/>
    </row>
    <row r="2385" spans="1:24" s="1" customFormat="1" ht="26.1" customHeight="1" x14ac:dyDescent="0.3">
      <c r="A2385" s="24" t="s">
        <v>23</v>
      </c>
      <c r="B2385" s="24" t="s">
        <v>2681</v>
      </c>
      <c r="C2385" s="12" t="s">
        <v>2684</v>
      </c>
      <c r="D2385" s="54"/>
      <c r="E2385" s="39" t="str">
        <f>HYPERLINK("https://www.google.ru/search?q=6003001-289&amp;newwindow=1&amp;tbm=isch","Еще фото")</f>
        <v>Еще фото</v>
      </c>
      <c r="F2385" s="13"/>
      <c r="G2385" s="24" t="s">
        <v>2202</v>
      </c>
      <c r="H2385" s="24" t="s">
        <v>27</v>
      </c>
      <c r="I2385" s="24" t="s">
        <v>2190</v>
      </c>
      <c r="J2385" s="14" t="s">
        <v>47</v>
      </c>
      <c r="K2385" s="15" t="s">
        <v>30</v>
      </c>
      <c r="L2385" s="57"/>
      <c r="M2385" s="14" t="s">
        <v>32</v>
      </c>
      <c r="N2385" s="14" t="s">
        <v>215</v>
      </c>
      <c r="O2385" s="14"/>
      <c r="P2385" s="15" t="s">
        <v>279</v>
      </c>
      <c r="Q2385" s="16">
        <v>9999</v>
      </c>
      <c r="R2385" s="17">
        <v>40</v>
      </c>
      <c r="S2385" s="18">
        <v>6899.3099999999995</v>
      </c>
      <c r="T2385" s="19" t="s">
        <v>36</v>
      </c>
      <c r="U2385" s="20" t="s">
        <v>41</v>
      </c>
      <c r="V2385" s="21" t="s">
        <v>42</v>
      </c>
      <c r="W2385" s="22">
        <v>11</v>
      </c>
      <c r="X2385" s="23"/>
    </row>
    <row r="2386" spans="1:24" s="1" customFormat="1" ht="26.1" customHeight="1" x14ac:dyDescent="0.3">
      <c r="A2386" s="24" t="s">
        <v>23</v>
      </c>
      <c r="B2386" s="24" t="s">
        <v>2681</v>
      </c>
      <c r="C2386" s="12" t="s">
        <v>2684</v>
      </c>
      <c r="D2386" s="55"/>
      <c r="E2386" s="39" t="str">
        <f>HYPERLINK("https://www.google.ru/search?q=6003001-289&amp;newwindow=1&amp;tbm=isch","Еще фото")</f>
        <v>Еще фото</v>
      </c>
      <c r="F2386" s="13"/>
      <c r="G2386" s="24" t="s">
        <v>2202</v>
      </c>
      <c r="H2386" s="24" t="s">
        <v>27</v>
      </c>
      <c r="I2386" s="24" t="s">
        <v>2190</v>
      </c>
      <c r="J2386" s="14" t="s">
        <v>47</v>
      </c>
      <c r="K2386" s="15" t="s">
        <v>30</v>
      </c>
      <c r="L2386" s="58"/>
      <c r="M2386" s="14" t="s">
        <v>32</v>
      </c>
      <c r="N2386" s="14" t="s">
        <v>215</v>
      </c>
      <c r="O2386" s="14"/>
      <c r="P2386" s="15" t="s">
        <v>279</v>
      </c>
      <c r="Q2386" s="16">
        <v>9999</v>
      </c>
      <c r="R2386" s="17">
        <v>40</v>
      </c>
      <c r="S2386" s="18">
        <v>6899.3099999999995</v>
      </c>
      <c r="T2386" s="19" t="s">
        <v>36</v>
      </c>
      <c r="U2386" s="20" t="s">
        <v>104</v>
      </c>
      <c r="V2386" s="21" t="s">
        <v>105</v>
      </c>
      <c r="W2386" s="22">
        <v>1</v>
      </c>
      <c r="X2386" s="23"/>
    </row>
    <row r="2387" spans="1:24" s="1" customFormat="1" ht="108" customHeight="1" x14ac:dyDescent="0.3">
      <c r="A2387" s="11" t="s">
        <v>23</v>
      </c>
      <c r="B2387" s="11" t="s">
        <v>2685</v>
      </c>
      <c r="C2387" s="12" t="s">
        <v>2686</v>
      </c>
      <c r="D2387" s="25"/>
      <c r="E2387" s="39" t="str">
        <f>HYPERLINK("https://www.google.ru/search?q=6003001-338&amp;newwindow=1&amp;tbm=isch","Еще фото")</f>
        <v>Еще фото</v>
      </c>
      <c r="F2387" s="13" t="s">
        <v>98</v>
      </c>
      <c r="G2387" s="11" t="s">
        <v>2202</v>
      </c>
      <c r="H2387" s="11" t="s">
        <v>27</v>
      </c>
      <c r="I2387" s="14" t="s">
        <v>2190</v>
      </c>
      <c r="J2387" s="14" t="s">
        <v>47</v>
      </c>
      <c r="K2387" s="15" t="s">
        <v>30</v>
      </c>
      <c r="L2387" s="14" t="s">
        <v>2683</v>
      </c>
      <c r="M2387" s="14"/>
      <c r="N2387" s="14" t="s">
        <v>125</v>
      </c>
      <c r="O2387" s="14"/>
      <c r="P2387" s="15" t="s">
        <v>100</v>
      </c>
      <c r="Q2387" s="16">
        <v>8999</v>
      </c>
      <c r="R2387" s="17">
        <v>40</v>
      </c>
      <c r="S2387" s="18">
        <v>6209.3099999999995</v>
      </c>
      <c r="T2387" s="19" t="s">
        <v>36</v>
      </c>
      <c r="U2387" s="20" t="s">
        <v>41</v>
      </c>
      <c r="V2387" s="21" t="s">
        <v>42</v>
      </c>
      <c r="W2387" s="22">
        <v>1</v>
      </c>
      <c r="X2387" s="23"/>
    </row>
    <row r="2388" spans="1:24" s="1" customFormat="1" ht="51.95" customHeight="1" x14ac:dyDescent="0.3">
      <c r="A2388" s="11" t="s">
        <v>23</v>
      </c>
      <c r="B2388" s="11" t="s">
        <v>2687</v>
      </c>
      <c r="C2388" s="12" t="s">
        <v>2688</v>
      </c>
      <c r="D2388" s="59"/>
      <c r="E2388" s="39" t="str">
        <f>HYPERLINK("https://www.google.ru/search?q=6003087-001&amp;newwindow=1&amp;tbm=isch","Еще фото")</f>
        <v>Еще фото</v>
      </c>
      <c r="F2388" s="13" t="s">
        <v>310</v>
      </c>
      <c r="G2388" s="11" t="s">
        <v>2202</v>
      </c>
      <c r="H2388" s="11" t="s">
        <v>27</v>
      </c>
      <c r="I2388" s="14" t="s">
        <v>2190</v>
      </c>
      <c r="J2388" s="14" t="s">
        <v>47</v>
      </c>
      <c r="K2388" s="15" t="s">
        <v>30</v>
      </c>
      <c r="L2388" s="56" t="s">
        <v>2689</v>
      </c>
      <c r="M2388" s="14" t="s">
        <v>32</v>
      </c>
      <c r="N2388" s="14" t="s">
        <v>33</v>
      </c>
      <c r="O2388" s="14"/>
      <c r="P2388" s="15" t="s">
        <v>51</v>
      </c>
      <c r="Q2388" s="16">
        <v>11299</v>
      </c>
      <c r="R2388" s="17">
        <v>40</v>
      </c>
      <c r="S2388" s="18">
        <v>7796.3099999999986</v>
      </c>
      <c r="T2388" s="19" t="s">
        <v>36</v>
      </c>
      <c r="U2388" s="20" t="s">
        <v>37</v>
      </c>
      <c r="V2388" s="21" t="s">
        <v>38</v>
      </c>
      <c r="W2388" s="22">
        <v>4</v>
      </c>
      <c r="X2388" s="23"/>
    </row>
    <row r="2389" spans="1:24" s="1" customFormat="1" ht="60.95" customHeight="1" x14ac:dyDescent="0.3">
      <c r="A2389" s="24" t="s">
        <v>23</v>
      </c>
      <c r="B2389" s="24" t="s">
        <v>2687</v>
      </c>
      <c r="C2389" s="12" t="s">
        <v>2688</v>
      </c>
      <c r="D2389" s="60"/>
      <c r="E2389" s="39" t="str">
        <f>HYPERLINK("https://www.google.ru/search?q=6003087-001&amp;newwindow=1&amp;tbm=isch","Еще фото")</f>
        <v>Еще фото</v>
      </c>
      <c r="F2389" s="13" t="s">
        <v>310</v>
      </c>
      <c r="G2389" s="24" t="s">
        <v>2202</v>
      </c>
      <c r="H2389" s="24" t="s">
        <v>27</v>
      </c>
      <c r="I2389" s="24" t="s">
        <v>2190</v>
      </c>
      <c r="J2389" s="14" t="s">
        <v>47</v>
      </c>
      <c r="K2389" s="15" t="s">
        <v>30</v>
      </c>
      <c r="L2389" s="58"/>
      <c r="M2389" s="14" t="s">
        <v>32</v>
      </c>
      <c r="N2389" s="14" t="s">
        <v>33</v>
      </c>
      <c r="O2389" s="14"/>
      <c r="P2389" s="15" t="s">
        <v>51</v>
      </c>
      <c r="Q2389" s="16">
        <v>11299</v>
      </c>
      <c r="R2389" s="17">
        <v>40</v>
      </c>
      <c r="S2389" s="18">
        <v>7796.3099999999986</v>
      </c>
      <c r="T2389" s="19" t="s">
        <v>36</v>
      </c>
      <c r="U2389" s="20" t="s">
        <v>41</v>
      </c>
      <c r="V2389" s="21" t="s">
        <v>42</v>
      </c>
      <c r="W2389" s="22">
        <v>13</v>
      </c>
      <c r="X2389" s="23"/>
    </row>
    <row r="2390" spans="1:24" s="1" customFormat="1" ht="26.1" customHeight="1" x14ac:dyDescent="0.3">
      <c r="A2390" s="11" t="s">
        <v>23</v>
      </c>
      <c r="B2390" s="11" t="s">
        <v>2687</v>
      </c>
      <c r="C2390" s="12" t="s">
        <v>2690</v>
      </c>
      <c r="D2390" s="53"/>
      <c r="E2390" s="39" t="str">
        <f>HYPERLINK("https://www.google.ru/search?q=6003087-299&amp;newwindow=1&amp;tbm=isch","Еще фото")</f>
        <v>Еще фото</v>
      </c>
      <c r="F2390" s="13"/>
      <c r="G2390" s="11" t="s">
        <v>2202</v>
      </c>
      <c r="H2390" s="11" t="s">
        <v>27</v>
      </c>
      <c r="I2390" s="14" t="s">
        <v>2190</v>
      </c>
      <c r="J2390" s="14" t="s">
        <v>47</v>
      </c>
      <c r="K2390" s="15" t="s">
        <v>30</v>
      </c>
      <c r="L2390" s="56" t="s">
        <v>2689</v>
      </c>
      <c r="M2390" s="14"/>
      <c r="N2390" s="14" t="s">
        <v>215</v>
      </c>
      <c r="O2390" s="14"/>
      <c r="P2390" s="15" t="s">
        <v>51</v>
      </c>
      <c r="Q2390" s="16">
        <v>11299</v>
      </c>
      <c r="R2390" s="17">
        <v>40</v>
      </c>
      <c r="S2390" s="18">
        <v>7796.3099999999986</v>
      </c>
      <c r="T2390" s="19" t="s">
        <v>36</v>
      </c>
      <c r="U2390" s="20" t="s">
        <v>37</v>
      </c>
      <c r="V2390" s="21" t="s">
        <v>38</v>
      </c>
      <c r="W2390" s="22">
        <v>4</v>
      </c>
      <c r="X2390" s="23"/>
    </row>
    <row r="2391" spans="1:24" s="1" customFormat="1" ht="26.1" customHeight="1" x14ac:dyDescent="0.3">
      <c r="A2391" s="24" t="s">
        <v>23</v>
      </c>
      <c r="B2391" s="24" t="s">
        <v>2687</v>
      </c>
      <c r="C2391" s="12" t="s">
        <v>2690</v>
      </c>
      <c r="D2391" s="54"/>
      <c r="E2391" s="39" t="str">
        <f>HYPERLINK("https://www.google.ru/search?q=6003087-299&amp;newwindow=1&amp;tbm=isch","Еще фото")</f>
        <v>Еще фото</v>
      </c>
      <c r="F2391" s="13"/>
      <c r="G2391" s="24" t="s">
        <v>2202</v>
      </c>
      <c r="H2391" s="24" t="s">
        <v>27</v>
      </c>
      <c r="I2391" s="24" t="s">
        <v>2190</v>
      </c>
      <c r="J2391" s="14" t="s">
        <v>47</v>
      </c>
      <c r="K2391" s="15" t="s">
        <v>30</v>
      </c>
      <c r="L2391" s="57"/>
      <c r="M2391" s="14"/>
      <c r="N2391" s="14" t="s">
        <v>215</v>
      </c>
      <c r="O2391" s="14"/>
      <c r="P2391" s="15" t="s">
        <v>51</v>
      </c>
      <c r="Q2391" s="16">
        <v>11299</v>
      </c>
      <c r="R2391" s="17">
        <v>40</v>
      </c>
      <c r="S2391" s="18">
        <v>7796.3099999999986</v>
      </c>
      <c r="T2391" s="19" t="s">
        <v>36</v>
      </c>
      <c r="U2391" s="20" t="s">
        <v>39</v>
      </c>
      <c r="V2391" s="21" t="s">
        <v>40</v>
      </c>
      <c r="W2391" s="22">
        <v>1</v>
      </c>
      <c r="X2391" s="23"/>
    </row>
    <row r="2392" spans="1:24" s="1" customFormat="1" ht="26.1" customHeight="1" x14ac:dyDescent="0.3">
      <c r="A2392" s="24" t="s">
        <v>23</v>
      </c>
      <c r="B2392" s="24" t="s">
        <v>2687</v>
      </c>
      <c r="C2392" s="12" t="s">
        <v>2690</v>
      </c>
      <c r="D2392" s="54"/>
      <c r="E2392" s="39" t="str">
        <f>HYPERLINK("https://www.google.ru/search?q=6003087-299&amp;newwindow=1&amp;tbm=isch","Еще фото")</f>
        <v>Еще фото</v>
      </c>
      <c r="F2392" s="13"/>
      <c r="G2392" s="24" t="s">
        <v>2202</v>
      </c>
      <c r="H2392" s="24" t="s">
        <v>27</v>
      </c>
      <c r="I2392" s="24" t="s">
        <v>2190</v>
      </c>
      <c r="J2392" s="14" t="s">
        <v>47</v>
      </c>
      <c r="K2392" s="15" t="s">
        <v>30</v>
      </c>
      <c r="L2392" s="57"/>
      <c r="M2392" s="14"/>
      <c r="N2392" s="14" t="s">
        <v>215</v>
      </c>
      <c r="O2392" s="14"/>
      <c r="P2392" s="15" t="s">
        <v>51</v>
      </c>
      <c r="Q2392" s="16">
        <v>11299</v>
      </c>
      <c r="R2392" s="17">
        <v>40</v>
      </c>
      <c r="S2392" s="18">
        <v>7796.3099999999986</v>
      </c>
      <c r="T2392" s="19" t="s">
        <v>36</v>
      </c>
      <c r="U2392" s="20" t="s">
        <v>41</v>
      </c>
      <c r="V2392" s="21" t="s">
        <v>42</v>
      </c>
      <c r="W2392" s="22">
        <v>2</v>
      </c>
      <c r="X2392" s="23"/>
    </row>
    <row r="2393" spans="1:24" s="1" customFormat="1" ht="26.1" customHeight="1" x14ac:dyDescent="0.3">
      <c r="A2393" s="24" t="s">
        <v>23</v>
      </c>
      <c r="B2393" s="24" t="s">
        <v>2687</v>
      </c>
      <c r="C2393" s="12" t="s">
        <v>2690</v>
      </c>
      <c r="D2393" s="55"/>
      <c r="E2393" s="39" t="str">
        <f>HYPERLINK("https://www.google.ru/search?q=6003087-299&amp;newwindow=1&amp;tbm=isch","Еще фото")</f>
        <v>Еще фото</v>
      </c>
      <c r="F2393" s="13"/>
      <c r="G2393" s="24" t="s">
        <v>2202</v>
      </c>
      <c r="H2393" s="24" t="s">
        <v>27</v>
      </c>
      <c r="I2393" s="24" t="s">
        <v>2190</v>
      </c>
      <c r="J2393" s="14" t="s">
        <v>47</v>
      </c>
      <c r="K2393" s="15" t="s">
        <v>30</v>
      </c>
      <c r="L2393" s="58"/>
      <c r="M2393" s="14"/>
      <c r="N2393" s="14" t="s">
        <v>215</v>
      </c>
      <c r="O2393" s="14"/>
      <c r="P2393" s="15" t="s">
        <v>51</v>
      </c>
      <c r="Q2393" s="16">
        <v>11299</v>
      </c>
      <c r="R2393" s="17">
        <v>40</v>
      </c>
      <c r="S2393" s="18">
        <v>7796.3099999999986</v>
      </c>
      <c r="T2393" s="19" t="s">
        <v>36</v>
      </c>
      <c r="U2393" s="20" t="s">
        <v>43</v>
      </c>
      <c r="V2393" s="21" t="s">
        <v>44</v>
      </c>
      <c r="W2393" s="22">
        <v>1</v>
      </c>
      <c r="X2393" s="23"/>
    </row>
    <row r="2394" spans="1:24" s="1" customFormat="1" ht="51.95" customHeight="1" x14ac:dyDescent="0.3">
      <c r="A2394" s="11" t="s">
        <v>23</v>
      </c>
      <c r="B2394" s="11" t="s">
        <v>2247</v>
      </c>
      <c r="C2394" s="12" t="s">
        <v>2691</v>
      </c>
      <c r="D2394" s="59"/>
      <c r="E2394" s="39" t="str">
        <f>HYPERLINK("https://www.google.ru/search?q=6003978-320&amp;newwindow=1&amp;tbm=isch","Еще фото")</f>
        <v>Еще фото</v>
      </c>
      <c r="F2394" s="13"/>
      <c r="G2394" s="11" t="s">
        <v>2202</v>
      </c>
      <c r="H2394" s="11" t="s">
        <v>27</v>
      </c>
      <c r="I2394" s="14" t="s">
        <v>2190</v>
      </c>
      <c r="J2394" s="14" t="s">
        <v>47</v>
      </c>
      <c r="K2394" s="15" t="s">
        <v>30</v>
      </c>
      <c r="L2394" s="56" t="s">
        <v>2692</v>
      </c>
      <c r="M2394" s="14" t="s">
        <v>32</v>
      </c>
      <c r="N2394" s="14" t="s">
        <v>125</v>
      </c>
      <c r="O2394" s="14"/>
      <c r="P2394" s="15" t="s">
        <v>492</v>
      </c>
      <c r="Q2394" s="16">
        <v>12499</v>
      </c>
      <c r="R2394" s="17">
        <v>40</v>
      </c>
      <c r="S2394" s="18">
        <v>8624.31</v>
      </c>
      <c r="T2394" s="19" t="s">
        <v>36</v>
      </c>
      <c r="U2394" s="20" t="s">
        <v>41</v>
      </c>
      <c r="V2394" s="21" t="s">
        <v>42</v>
      </c>
      <c r="W2394" s="22">
        <v>1</v>
      </c>
      <c r="X2394" s="23"/>
    </row>
    <row r="2395" spans="1:24" s="1" customFormat="1" ht="60.95" customHeight="1" x14ac:dyDescent="0.3">
      <c r="A2395" s="24" t="s">
        <v>23</v>
      </c>
      <c r="B2395" s="24" t="s">
        <v>2247</v>
      </c>
      <c r="C2395" s="12" t="s">
        <v>2691</v>
      </c>
      <c r="D2395" s="60"/>
      <c r="E2395" s="39" t="str">
        <f>HYPERLINK("https://www.google.ru/search?q=6003978-320&amp;newwindow=1&amp;tbm=isch","Еще фото")</f>
        <v>Еще фото</v>
      </c>
      <c r="F2395" s="13"/>
      <c r="G2395" s="24" t="s">
        <v>2202</v>
      </c>
      <c r="H2395" s="24" t="s">
        <v>27</v>
      </c>
      <c r="I2395" s="24" t="s">
        <v>2190</v>
      </c>
      <c r="J2395" s="14" t="s">
        <v>47</v>
      </c>
      <c r="K2395" s="15" t="s">
        <v>30</v>
      </c>
      <c r="L2395" s="58"/>
      <c r="M2395" s="14" t="s">
        <v>32</v>
      </c>
      <c r="N2395" s="14" t="s">
        <v>125</v>
      </c>
      <c r="O2395" s="14"/>
      <c r="P2395" s="15" t="s">
        <v>492</v>
      </c>
      <c r="Q2395" s="16">
        <v>12499</v>
      </c>
      <c r="R2395" s="17">
        <v>40</v>
      </c>
      <c r="S2395" s="18">
        <v>8624.31</v>
      </c>
      <c r="T2395" s="19" t="s">
        <v>36</v>
      </c>
      <c r="U2395" s="20" t="s">
        <v>43</v>
      </c>
      <c r="V2395" s="21" t="s">
        <v>44</v>
      </c>
      <c r="W2395" s="22">
        <v>1</v>
      </c>
      <c r="X2395" s="23"/>
    </row>
    <row r="2396" spans="1:24" s="1" customFormat="1" ht="35.1" customHeight="1" x14ac:dyDescent="0.3">
      <c r="A2396" s="11" t="s">
        <v>23</v>
      </c>
      <c r="B2396" s="11" t="s">
        <v>2693</v>
      </c>
      <c r="C2396" s="12" t="s">
        <v>2694</v>
      </c>
      <c r="D2396" s="53"/>
      <c r="E2396" s="39" t="str">
        <f>HYPERLINK("https://www.google.ru/search?q=6004043-001&amp;newwindow=1&amp;tbm=isch","Еще фото")</f>
        <v>Еще фото</v>
      </c>
      <c r="F2396" s="13" t="s">
        <v>98</v>
      </c>
      <c r="G2396" s="11" t="s">
        <v>2189</v>
      </c>
      <c r="H2396" s="11" t="s">
        <v>27</v>
      </c>
      <c r="I2396" s="14" t="s">
        <v>2190</v>
      </c>
      <c r="J2396" s="14" t="s">
        <v>506</v>
      </c>
      <c r="K2396" s="15" t="s">
        <v>30</v>
      </c>
      <c r="L2396" s="56" t="s">
        <v>2695</v>
      </c>
      <c r="M2396" s="14"/>
      <c r="N2396" s="14" t="s">
        <v>33</v>
      </c>
      <c r="O2396" s="14"/>
      <c r="P2396" s="15" t="s">
        <v>269</v>
      </c>
      <c r="Q2396" s="16">
        <v>6199</v>
      </c>
      <c r="R2396" s="17">
        <v>40</v>
      </c>
      <c r="S2396" s="18">
        <v>4277.3099999999995</v>
      </c>
      <c r="T2396" s="19" t="s">
        <v>36</v>
      </c>
      <c r="U2396" s="20" t="s">
        <v>39</v>
      </c>
      <c r="V2396" s="21" t="s">
        <v>40</v>
      </c>
      <c r="W2396" s="22">
        <v>5</v>
      </c>
      <c r="X2396" s="23"/>
    </row>
    <row r="2397" spans="1:24" s="1" customFormat="1" ht="35.1" customHeight="1" x14ac:dyDescent="0.3">
      <c r="A2397" s="24" t="s">
        <v>23</v>
      </c>
      <c r="B2397" s="24" t="s">
        <v>2693</v>
      </c>
      <c r="C2397" s="12" t="s">
        <v>2694</v>
      </c>
      <c r="D2397" s="54"/>
      <c r="E2397" s="39" t="str">
        <f>HYPERLINK("https://www.google.ru/search?q=6004043-001&amp;newwindow=1&amp;tbm=isch","Еще фото")</f>
        <v>Еще фото</v>
      </c>
      <c r="F2397" s="13" t="s">
        <v>98</v>
      </c>
      <c r="G2397" s="24" t="s">
        <v>2189</v>
      </c>
      <c r="H2397" s="24" t="s">
        <v>27</v>
      </c>
      <c r="I2397" s="24" t="s">
        <v>2190</v>
      </c>
      <c r="J2397" s="14" t="s">
        <v>506</v>
      </c>
      <c r="K2397" s="15" t="s">
        <v>30</v>
      </c>
      <c r="L2397" s="57"/>
      <c r="M2397" s="14"/>
      <c r="N2397" s="14" t="s">
        <v>33</v>
      </c>
      <c r="O2397" s="14"/>
      <c r="P2397" s="15" t="s">
        <v>269</v>
      </c>
      <c r="Q2397" s="16">
        <v>6199</v>
      </c>
      <c r="R2397" s="17">
        <v>40</v>
      </c>
      <c r="S2397" s="18">
        <v>4277.3099999999995</v>
      </c>
      <c r="T2397" s="19" t="s">
        <v>36</v>
      </c>
      <c r="U2397" s="20" t="s">
        <v>43</v>
      </c>
      <c r="V2397" s="21" t="s">
        <v>44</v>
      </c>
      <c r="W2397" s="22">
        <v>1</v>
      </c>
      <c r="X2397" s="23"/>
    </row>
    <row r="2398" spans="1:24" s="1" customFormat="1" ht="36.950000000000003" customHeight="1" x14ac:dyDescent="0.3">
      <c r="A2398" s="24" t="s">
        <v>23</v>
      </c>
      <c r="B2398" s="24" t="s">
        <v>2693</v>
      </c>
      <c r="C2398" s="12" t="s">
        <v>2694</v>
      </c>
      <c r="D2398" s="55"/>
      <c r="E2398" s="39" t="str">
        <f>HYPERLINK("https://www.google.ru/search?q=6004043-001&amp;newwindow=1&amp;tbm=isch","Еще фото")</f>
        <v>Еще фото</v>
      </c>
      <c r="F2398" s="13" t="s">
        <v>98</v>
      </c>
      <c r="G2398" s="24" t="s">
        <v>2189</v>
      </c>
      <c r="H2398" s="24" t="s">
        <v>27</v>
      </c>
      <c r="I2398" s="24" t="s">
        <v>2190</v>
      </c>
      <c r="J2398" s="14" t="s">
        <v>506</v>
      </c>
      <c r="K2398" s="15" t="s">
        <v>30</v>
      </c>
      <c r="L2398" s="58"/>
      <c r="M2398" s="14"/>
      <c r="N2398" s="14" t="s">
        <v>33</v>
      </c>
      <c r="O2398" s="14"/>
      <c r="P2398" s="15" t="s">
        <v>269</v>
      </c>
      <c r="Q2398" s="16">
        <v>6199</v>
      </c>
      <c r="R2398" s="17">
        <v>40</v>
      </c>
      <c r="S2398" s="18">
        <v>4277.3099999999995</v>
      </c>
      <c r="T2398" s="19" t="s">
        <v>36</v>
      </c>
      <c r="U2398" s="20" t="s">
        <v>104</v>
      </c>
      <c r="V2398" s="21" t="s">
        <v>105</v>
      </c>
      <c r="W2398" s="22">
        <v>1</v>
      </c>
      <c r="X2398" s="23"/>
    </row>
    <row r="2399" spans="1:24" s="1" customFormat="1" ht="21" customHeight="1" x14ac:dyDescent="0.3">
      <c r="A2399" s="11" t="s">
        <v>23</v>
      </c>
      <c r="B2399" s="11" t="s">
        <v>2693</v>
      </c>
      <c r="C2399" s="26" t="s">
        <v>2696</v>
      </c>
      <c r="D2399" s="53"/>
      <c r="E2399" s="39" t="str">
        <f>HYPERLINK("https://www.google.ru/search?q=6004043-100&amp;newwindow=1&amp;tbm=isch","Еще фото")</f>
        <v>Еще фото</v>
      </c>
      <c r="F2399" s="13"/>
      <c r="G2399" s="11" t="s">
        <v>2189</v>
      </c>
      <c r="H2399" s="11" t="s">
        <v>27</v>
      </c>
      <c r="I2399" s="14" t="s">
        <v>2190</v>
      </c>
      <c r="J2399" s="14" t="s">
        <v>506</v>
      </c>
      <c r="K2399" s="15" t="s">
        <v>30</v>
      </c>
      <c r="L2399" s="56" t="s">
        <v>2695</v>
      </c>
      <c r="M2399" s="14"/>
      <c r="N2399" s="14" t="s">
        <v>74</v>
      </c>
      <c r="O2399" s="14"/>
      <c r="P2399" s="15" t="s">
        <v>185</v>
      </c>
      <c r="Q2399" s="16">
        <v>6199</v>
      </c>
      <c r="R2399" s="17">
        <v>40</v>
      </c>
      <c r="S2399" s="18">
        <v>4277.3099999999995</v>
      </c>
      <c r="T2399" s="19" t="s">
        <v>36</v>
      </c>
      <c r="U2399" s="20" t="s">
        <v>37</v>
      </c>
      <c r="V2399" s="21" t="s">
        <v>38</v>
      </c>
      <c r="W2399" s="22">
        <v>10</v>
      </c>
      <c r="X2399" s="23"/>
    </row>
    <row r="2400" spans="1:24" s="1" customFormat="1" ht="21" customHeight="1" x14ac:dyDescent="0.3">
      <c r="A2400" s="24" t="s">
        <v>23</v>
      </c>
      <c r="B2400" s="24" t="s">
        <v>2693</v>
      </c>
      <c r="C2400" s="27" t="s">
        <v>2696</v>
      </c>
      <c r="D2400" s="54"/>
      <c r="E2400" s="39" t="str">
        <f>HYPERLINK("https://www.google.ru/search?q=6004043-100&amp;newwindow=1&amp;tbm=isch","Еще фото")</f>
        <v>Еще фото</v>
      </c>
      <c r="F2400" s="13"/>
      <c r="G2400" s="24" t="s">
        <v>2189</v>
      </c>
      <c r="H2400" s="24" t="s">
        <v>27</v>
      </c>
      <c r="I2400" s="24" t="s">
        <v>2190</v>
      </c>
      <c r="J2400" s="14" t="s">
        <v>506</v>
      </c>
      <c r="K2400" s="15" t="s">
        <v>30</v>
      </c>
      <c r="L2400" s="57"/>
      <c r="M2400" s="14"/>
      <c r="N2400" s="14" t="s">
        <v>74</v>
      </c>
      <c r="O2400" s="14"/>
      <c r="P2400" s="15" t="s">
        <v>185</v>
      </c>
      <c r="Q2400" s="16">
        <v>6199</v>
      </c>
      <c r="R2400" s="17">
        <v>40</v>
      </c>
      <c r="S2400" s="18">
        <v>4277.3099999999995</v>
      </c>
      <c r="T2400" s="19" t="s">
        <v>36</v>
      </c>
      <c r="U2400" s="20" t="s">
        <v>39</v>
      </c>
      <c r="V2400" s="21" t="s">
        <v>40</v>
      </c>
      <c r="W2400" s="22">
        <v>4</v>
      </c>
      <c r="X2400" s="23"/>
    </row>
    <row r="2401" spans="1:24" s="1" customFormat="1" ht="21" customHeight="1" x14ac:dyDescent="0.3">
      <c r="A2401" s="24" t="s">
        <v>23</v>
      </c>
      <c r="B2401" s="24" t="s">
        <v>2693</v>
      </c>
      <c r="C2401" s="27" t="s">
        <v>2696</v>
      </c>
      <c r="D2401" s="54"/>
      <c r="E2401" s="39" t="str">
        <f>HYPERLINK("https://www.google.ru/search?q=6004043-100&amp;newwindow=1&amp;tbm=isch","Еще фото")</f>
        <v>Еще фото</v>
      </c>
      <c r="F2401" s="13"/>
      <c r="G2401" s="24" t="s">
        <v>2189</v>
      </c>
      <c r="H2401" s="24" t="s">
        <v>27</v>
      </c>
      <c r="I2401" s="24" t="s">
        <v>2190</v>
      </c>
      <c r="J2401" s="14" t="s">
        <v>506</v>
      </c>
      <c r="K2401" s="15" t="s">
        <v>30</v>
      </c>
      <c r="L2401" s="57"/>
      <c r="M2401" s="14"/>
      <c r="N2401" s="14" t="s">
        <v>74</v>
      </c>
      <c r="O2401" s="14"/>
      <c r="P2401" s="15" t="s">
        <v>185</v>
      </c>
      <c r="Q2401" s="16">
        <v>6199</v>
      </c>
      <c r="R2401" s="17">
        <v>40</v>
      </c>
      <c r="S2401" s="18">
        <v>4277.3099999999995</v>
      </c>
      <c r="T2401" s="19" t="s">
        <v>36</v>
      </c>
      <c r="U2401" s="20" t="s">
        <v>41</v>
      </c>
      <c r="V2401" s="21" t="s">
        <v>42</v>
      </c>
      <c r="W2401" s="22">
        <v>6</v>
      </c>
      <c r="X2401" s="23"/>
    </row>
    <row r="2402" spans="1:24" s="1" customFormat="1" ht="21" customHeight="1" x14ac:dyDescent="0.3">
      <c r="A2402" s="24" t="s">
        <v>23</v>
      </c>
      <c r="B2402" s="24" t="s">
        <v>2693</v>
      </c>
      <c r="C2402" s="27" t="s">
        <v>2696</v>
      </c>
      <c r="D2402" s="54"/>
      <c r="E2402" s="39" t="str">
        <f>HYPERLINK("https://www.google.ru/search?q=6004043-100&amp;newwindow=1&amp;tbm=isch","Еще фото")</f>
        <v>Еще фото</v>
      </c>
      <c r="F2402" s="13"/>
      <c r="G2402" s="24" t="s">
        <v>2189</v>
      </c>
      <c r="H2402" s="24" t="s">
        <v>27</v>
      </c>
      <c r="I2402" s="24" t="s">
        <v>2190</v>
      </c>
      <c r="J2402" s="14" t="s">
        <v>506</v>
      </c>
      <c r="K2402" s="15" t="s">
        <v>30</v>
      </c>
      <c r="L2402" s="57"/>
      <c r="M2402" s="14"/>
      <c r="N2402" s="14" t="s">
        <v>74</v>
      </c>
      <c r="O2402" s="14"/>
      <c r="P2402" s="15" t="s">
        <v>185</v>
      </c>
      <c r="Q2402" s="16">
        <v>6199</v>
      </c>
      <c r="R2402" s="17">
        <v>40</v>
      </c>
      <c r="S2402" s="18">
        <v>4277.3099999999995</v>
      </c>
      <c r="T2402" s="19" t="s">
        <v>36</v>
      </c>
      <c r="U2402" s="20" t="s">
        <v>43</v>
      </c>
      <c r="V2402" s="21" t="s">
        <v>44</v>
      </c>
      <c r="W2402" s="22">
        <v>9</v>
      </c>
      <c r="X2402" s="23"/>
    </row>
    <row r="2403" spans="1:24" s="1" customFormat="1" ht="32.1" customHeight="1" x14ac:dyDescent="0.3">
      <c r="A2403" s="24" t="s">
        <v>23</v>
      </c>
      <c r="B2403" s="24" t="s">
        <v>2693</v>
      </c>
      <c r="C2403" s="27" t="s">
        <v>2696</v>
      </c>
      <c r="D2403" s="55"/>
      <c r="E2403" s="39" t="str">
        <f>HYPERLINK("https://www.google.ru/search?q=6004043-100&amp;newwindow=1&amp;tbm=isch","Еще фото")</f>
        <v>Еще фото</v>
      </c>
      <c r="F2403" s="13"/>
      <c r="G2403" s="24" t="s">
        <v>2189</v>
      </c>
      <c r="H2403" s="24" t="s">
        <v>27</v>
      </c>
      <c r="I2403" s="24" t="s">
        <v>2190</v>
      </c>
      <c r="J2403" s="14" t="s">
        <v>506</v>
      </c>
      <c r="K2403" s="15" t="s">
        <v>30</v>
      </c>
      <c r="L2403" s="58"/>
      <c r="M2403" s="14"/>
      <c r="N2403" s="14" t="s">
        <v>74</v>
      </c>
      <c r="O2403" s="14"/>
      <c r="P2403" s="15" t="s">
        <v>185</v>
      </c>
      <c r="Q2403" s="16">
        <v>6199</v>
      </c>
      <c r="R2403" s="17">
        <v>40</v>
      </c>
      <c r="S2403" s="18">
        <v>4277.3099999999995</v>
      </c>
      <c r="T2403" s="19" t="s">
        <v>36</v>
      </c>
      <c r="U2403" s="20" t="s">
        <v>104</v>
      </c>
      <c r="V2403" s="21" t="s">
        <v>105</v>
      </c>
      <c r="W2403" s="22">
        <v>7</v>
      </c>
      <c r="X2403" s="23"/>
    </row>
    <row r="2404" spans="1:24" s="1" customFormat="1" ht="35.1" customHeight="1" x14ac:dyDescent="0.3">
      <c r="A2404" s="11" t="s">
        <v>23</v>
      </c>
      <c r="B2404" s="11" t="s">
        <v>2697</v>
      </c>
      <c r="C2404" s="12" t="s">
        <v>2698</v>
      </c>
      <c r="D2404" s="53"/>
      <c r="E2404" s="39" t="str">
        <f>HYPERLINK("https://www.google.ru/search?q=6004849-425&amp;newwindow=1&amp;tbm=isch","Еще фото")</f>
        <v>Еще фото</v>
      </c>
      <c r="F2404" s="13"/>
      <c r="G2404" s="11" t="s">
        <v>2202</v>
      </c>
      <c r="H2404" s="11" t="s">
        <v>27</v>
      </c>
      <c r="I2404" s="14" t="s">
        <v>2190</v>
      </c>
      <c r="J2404" s="14" t="s">
        <v>47</v>
      </c>
      <c r="K2404" s="15" t="s">
        <v>64</v>
      </c>
      <c r="L2404" s="56"/>
      <c r="M2404" s="14"/>
      <c r="N2404" s="14" t="s">
        <v>50</v>
      </c>
      <c r="O2404" s="14"/>
      <c r="P2404" s="15" t="s">
        <v>100</v>
      </c>
      <c r="Q2404" s="16">
        <v>7499</v>
      </c>
      <c r="R2404" s="17">
        <v>40</v>
      </c>
      <c r="S2404" s="18">
        <v>5174.3099999999995</v>
      </c>
      <c r="T2404" s="19" t="s">
        <v>36</v>
      </c>
      <c r="U2404" s="20" t="s">
        <v>69</v>
      </c>
      <c r="V2404" s="21" t="s">
        <v>70</v>
      </c>
      <c r="W2404" s="22">
        <v>2</v>
      </c>
      <c r="X2404" s="23"/>
    </row>
    <row r="2405" spans="1:24" s="1" customFormat="1" ht="35.1" customHeight="1" x14ac:dyDescent="0.3">
      <c r="A2405" s="24" t="s">
        <v>23</v>
      </c>
      <c r="B2405" s="24" t="s">
        <v>2697</v>
      </c>
      <c r="C2405" s="12" t="s">
        <v>2698</v>
      </c>
      <c r="D2405" s="54"/>
      <c r="E2405" s="39" t="str">
        <f>HYPERLINK("https://www.google.ru/search?q=6004849-425&amp;newwindow=1&amp;tbm=isch","Еще фото")</f>
        <v>Еще фото</v>
      </c>
      <c r="F2405" s="13"/>
      <c r="G2405" s="24" t="s">
        <v>2202</v>
      </c>
      <c r="H2405" s="24" t="s">
        <v>27</v>
      </c>
      <c r="I2405" s="24" t="s">
        <v>2190</v>
      </c>
      <c r="J2405" s="14" t="s">
        <v>47</v>
      </c>
      <c r="K2405" s="15" t="s">
        <v>64</v>
      </c>
      <c r="L2405" s="57"/>
      <c r="M2405" s="14"/>
      <c r="N2405" s="14" t="s">
        <v>50</v>
      </c>
      <c r="O2405" s="14"/>
      <c r="P2405" s="15" t="s">
        <v>100</v>
      </c>
      <c r="Q2405" s="16">
        <v>7499</v>
      </c>
      <c r="R2405" s="17">
        <v>40</v>
      </c>
      <c r="S2405" s="18">
        <v>5174.3099999999995</v>
      </c>
      <c r="T2405" s="19" t="s">
        <v>36</v>
      </c>
      <c r="U2405" s="20" t="s">
        <v>37</v>
      </c>
      <c r="V2405" s="21" t="s">
        <v>86</v>
      </c>
      <c r="W2405" s="22">
        <v>3</v>
      </c>
      <c r="X2405" s="23"/>
    </row>
    <row r="2406" spans="1:24" s="1" customFormat="1" ht="36.950000000000003" customHeight="1" x14ac:dyDescent="0.3">
      <c r="A2406" s="24" t="s">
        <v>23</v>
      </c>
      <c r="B2406" s="24" t="s">
        <v>2697</v>
      </c>
      <c r="C2406" s="12" t="s">
        <v>2698</v>
      </c>
      <c r="D2406" s="55"/>
      <c r="E2406" s="39" t="str">
        <f>HYPERLINK("https://www.google.ru/search?q=6004849-425&amp;newwindow=1&amp;tbm=isch","Еще фото")</f>
        <v>Еще фото</v>
      </c>
      <c r="F2406" s="13"/>
      <c r="G2406" s="24" t="s">
        <v>2202</v>
      </c>
      <c r="H2406" s="24" t="s">
        <v>27</v>
      </c>
      <c r="I2406" s="24" t="s">
        <v>2190</v>
      </c>
      <c r="J2406" s="14" t="s">
        <v>47</v>
      </c>
      <c r="K2406" s="15" t="s">
        <v>64</v>
      </c>
      <c r="L2406" s="58"/>
      <c r="M2406" s="14"/>
      <c r="N2406" s="14" t="s">
        <v>50</v>
      </c>
      <c r="O2406" s="14"/>
      <c r="P2406" s="15" t="s">
        <v>100</v>
      </c>
      <c r="Q2406" s="16">
        <v>7499</v>
      </c>
      <c r="R2406" s="17">
        <v>40</v>
      </c>
      <c r="S2406" s="18">
        <v>5174.3099999999995</v>
      </c>
      <c r="T2406" s="19" t="s">
        <v>36</v>
      </c>
      <c r="U2406" s="20" t="s">
        <v>41</v>
      </c>
      <c r="V2406" s="21" t="s">
        <v>40</v>
      </c>
      <c r="W2406" s="22">
        <v>9</v>
      </c>
      <c r="X2406" s="23"/>
    </row>
    <row r="2407" spans="1:24" s="1" customFormat="1" ht="21" customHeight="1" x14ac:dyDescent="0.3">
      <c r="A2407" s="11" t="s">
        <v>23</v>
      </c>
      <c r="B2407" s="11" t="s">
        <v>2337</v>
      </c>
      <c r="C2407" s="26" t="s">
        <v>2699</v>
      </c>
      <c r="D2407" s="53"/>
      <c r="E2407" s="39" t="str">
        <f>HYPERLINK("https://www.google.ru/search?q=6004979-690&amp;newwindow=1&amp;tbm=isch","Еще фото")</f>
        <v>Еще фото</v>
      </c>
      <c r="F2407" s="13"/>
      <c r="G2407" s="11" t="s">
        <v>2189</v>
      </c>
      <c r="H2407" s="11" t="s">
        <v>27</v>
      </c>
      <c r="I2407" s="14" t="s">
        <v>2190</v>
      </c>
      <c r="J2407" s="14" t="s">
        <v>29</v>
      </c>
      <c r="K2407" s="15" t="s">
        <v>54</v>
      </c>
      <c r="L2407" s="56"/>
      <c r="M2407" s="14"/>
      <c r="N2407" s="14" t="s">
        <v>140</v>
      </c>
      <c r="O2407" s="14"/>
      <c r="P2407" s="15" t="s">
        <v>51</v>
      </c>
      <c r="Q2407" s="16">
        <v>4099</v>
      </c>
      <c r="R2407" s="17">
        <v>40</v>
      </c>
      <c r="S2407" s="18">
        <v>2828.31</v>
      </c>
      <c r="T2407" s="19" t="s">
        <v>36</v>
      </c>
      <c r="U2407" s="20" t="s">
        <v>114</v>
      </c>
      <c r="V2407" s="21" t="s">
        <v>115</v>
      </c>
      <c r="W2407" s="22">
        <v>5</v>
      </c>
      <c r="X2407" s="23"/>
    </row>
    <row r="2408" spans="1:24" s="1" customFormat="1" ht="21" customHeight="1" x14ac:dyDescent="0.3">
      <c r="A2408" s="24" t="s">
        <v>23</v>
      </c>
      <c r="B2408" s="24" t="s">
        <v>2337</v>
      </c>
      <c r="C2408" s="27" t="s">
        <v>2699</v>
      </c>
      <c r="D2408" s="54"/>
      <c r="E2408" s="39" t="str">
        <f>HYPERLINK("https://www.google.ru/search?q=6004979-690&amp;newwindow=1&amp;tbm=isch","Еще фото")</f>
        <v>Еще фото</v>
      </c>
      <c r="F2408" s="13"/>
      <c r="G2408" s="24" t="s">
        <v>2189</v>
      </c>
      <c r="H2408" s="24" t="s">
        <v>27</v>
      </c>
      <c r="I2408" s="24" t="s">
        <v>2190</v>
      </c>
      <c r="J2408" s="14" t="s">
        <v>29</v>
      </c>
      <c r="K2408" s="15" t="s">
        <v>54</v>
      </c>
      <c r="L2408" s="57"/>
      <c r="M2408" s="14"/>
      <c r="N2408" s="14" t="s">
        <v>140</v>
      </c>
      <c r="O2408" s="14"/>
      <c r="P2408" s="15" t="s">
        <v>51</v>
      </c>
      <c r="Q2408" s="16">
        <v>4099</v>
      </c>
      <c r="R2408" s="17">
        <v>40</v>
      </c>
      <c r="S2408" s="18">
        <v>2828.31</v>
      </c>
      <c r="T2408" s="19" t="s">
        <v>36</v>
      </c>
      <c r="U2408" s="20" t="s">
        <v>126</v>
      </c>
      <c r="V2408" s="21" t="s">
        <v>127</v>
      </c>
      <c r="W2408" s="22">
        <v>6</v>
      </c>
      <c r="X2408" s="23"/>
    </row>
    <row r="2409" spans="1:24" s="1" customFormat="1" ht="21" customHeight="1" x14ac:dyDescent="0.3">
      <c r="A2409" s="24" t="s">
        <v>23</v>
      </c>
      <c r="B2409" s="24" t="s">
        <v>2337</v>
      </c>
      <c r="C2409" s="27" t="s">
        <v>2699</v>
      </c>
      <c r="D2409" s="54"/>
      <c r="E2409" s="39" t="str">
        <f>HYPERLINK("https://www.google.ru/search?q=6004979-690&amp;newwindow=1&amp;tbm=isch","Еще фото")</f>
        <v>Еще фото</v>
      </c>
      <c r="F2409" s="13"/>
      <c r="G2409" s="24" t="s">
        <v>2189</v>
      </c>
      <c r="H2409" s="24" t="s">
        <v>27</v>
      </c>
      <c r="I2409" s="24" t="s">
        <v>2190</v>
      </c>
      <c r="J2409" s="14" t="s">
        <v>29</v>
      </c>
      <c r="K2409" s="15" t="s">
        <v>54</v>
      </c>
      <c r="L2409" s="57"/>
      <c r="M2409" s="14"/>
      <c r="N2409" s="14" t="s">
        <v>140</v>
      </c>
      <c r="O2409" s="14"/>
      <c r="P2409" s="15" t="s">
        <v>51</v>
      </c>
      <c r="Q2409" s="16">
        <v>4099</v>
      </c>
      <c r="R2409" s="17">
        <v>40</v>
      </c>
      <c r="S2409" s="18">
        <v>2828.31</v>
      </c>
      <c r="T2409" s="19" t="s">
        <v>36</v>
      </c>
      <c r="U2409" s="20" t="s">
        <v>128</v>
      </c>
      <c r="V2409" s="21" t="s">
        <v>129</v>
      </c>
      <c r="W2409" s="22">
        <v>1</v>
      </c>
      <c r="X2409" s="23"/>
    </row>
    <row r="2410" spans="1:24" s="1" customFormat="1" ht="21" customHeight="1" x14ac:dyDescent="0.3">
      <c r="A2410" s="24" t="s">
        <v>23</v>
      </c>
      <c r="B2410" s="24" t="s">
        <v>2337</v>
      </c>
      <c r="C2410" s="27" t="s">
        <v>2699</v>
      </c>
      <c r="D2410" s="54"/>
      <c r="E2410" s="39" t="str">
        <f>HYPERLINK("https://www.google.ru/search?q=6004979-690&amp;newwindow=1&amp;tbm=isch","Еще фото")</f>
        <v>Еще фото</v>
      </c>
      <c r="F2410" s="13"/>
      <c r="G2410" s="24" t="s">
        <v>2189</v>
      </c>
      <c r="H2410" s="24" t="s">
        <v>27</v>
      </c>
      <c r="I2410" s="24" t="s">
        <v>2190</v>
      </c>
      <c r="J2410" s="14" t="s">
        <v>29</v>
      </c>
      <c r="K2410" s="15" t="s">
        <v>54</v>
      </c>
      <c r="L2410" s="57"/>
      <c r="M2410" s="14"/>
      <c r="N2410" s="14" t="s">
        <v>140</v>
      </c>
      <c r="O2410" s="14"/>
      <c r="P2410" s="15" t="s">
        <v>51</v>
      </c>
      <c r="Q2410" s="16">
        <v>4099</v>
      </c>
      <c r="R2410" s="17">
        <v>40</v>
      </c>
      <c r="S2410" s="18">
        <v>2828.31</v>
      </c>
      <c r="T2410" s="19" t="s">
        <v>36</v>
      </c>
      <c r="U2410" s="20" t="s">
        <v>59</v>
      </c>
      <c r="V2410" s="21" t="s">
        <v>60</v>
      </c>
      <c r="W2410" s="22">
        <v>12</v>
      </c>
      <c r="X2410" s="23"/>
    </row>
    <row r="2411" spans="1:24" s="1" customFormat="1" ht="32.1" customHeight="1" x14ac:dyDescent="0.3">
      <c r="A2411" s="24" t="s">
        <v>23</v>
      </c>
      <c r="B2411" s="24" t="s">
        <v>2337</v>
      </c>
      <c r="C2411" s="27" t="s">
        <v>2699</v>
      </c>
      <c r="D2411" s="55"/>
      <c r="E2411" s="39" t="str">
        <f>HYPERLINK("https://www.google.ru/search?q=6004979-690&amp;newwindow=1&amp;tbm=isch","Еще фото")</f>
        <v>Еще фото</v>
      </c>
      <c r="F2411" s="13"/>
      <c r="G2411" s="24" t="s">
        <v>2189</v>
      </c>
      <c r="H2411" s="24" t="s">
        <v>27</v>
      </c>
      <c r="I2411" s="24" t="s">
        <v>2190</v>
      </c>
      <c r="J2411" s="14" t="s">
        <v>29</v>
      </c>
      <c r="K2411" s="15" t="s">
        <v>54</v>
      </c>
      <c r="L2411" s="58"/>
      <c r="M2411" s="14"/>
      <c r="N2411" s="14" t="s">
        <v>140</v>
      </c>
      <c r="O2411" s="14"/>
      <c r="P2411" s="15" t="s">
        <v>51</v>
      </c>
      <c r="Q2411" s="16">
        <v>4099</v>
      </c>
      <c r="R2411" s="17">
        <v>40</v>
      </c>
      <c r="S2411" s="18">
        <v>2828.31</v>
      </c>
      <c r="T2411" s="19" t="s">
        <v>36</v>
      </c>
      <c r="U2411" s="20" t="s">
        <v>130</v>
      </c>
      <c r="V2411" s="21" t="s">
        <v>131</v>
      </c>
      <c r="W2411" s="22">
        <v>5</v>
      </c>
      <c r="X2411" s="23"/>
    </row>
    <row r="2412" spans="1:24" s="1" customFormat="1" ht="21" customHeight="1" x14ac:dyDescent="0.3">
      <c r="A2412" s="11" t="s">
        <v>23</v>
      </c>
      <c r="B2412" s="11" t="s">
        <v>2337</v>
      </c>
      <c r="C2412" s="26" t="s">
        <v>2700</v>
      </c>
      <c r="D2412" s="53"/>
      <c r="E2412" s="39" t="str">
        <f>HYPERLINK("https://www.google.ru/search?q=6004979-870&amp;newwindow=1&amp;tbm=isch","Еще фото")</f>
        <v>Еще фото</v>
      </c>
      <c r="F2412" s="13"/>
      <c r="G2412" s="11" t="s">
        <v>2189</v>
      </c>
      <c r="H2412" s="11" t="s">
        <v>27</v>
      </c>
      <c r="I2412" s="14" t="s">
        <v>2190</v>
      </c>
      <c r="J2412" s="14" t="s">
        <v>29</v>
      </c>
      <c r="K2412" s="15" t="s">
        <v>54</v>
      </c>
      <c r="L2412" s="56"/>
      <c r="M2412" s="14"/>
      <c r="N2412" s="14" t="s">
        <v>434</v>
      </c>
      <c r="O2412" s="14"/>
      <c r="P2412" s="15" t="s">
        <v>51</v>
      </c>
      <c r="Q2412" s="16">
        <v>4099</v>
      </c>
      <c r="R2412" s="17">
        <v>40</v>
      </c>
      <c r="S2412" s="18">
        <v>2828.31</v>
      </c>
      <c r="T2412" s="19" t="s">
        <v>36</v>
      </c>
      <c r="U2412" s="20" t="s">
        <v>114</v>
      </c>
      <c r="V2412" s="21" t="s">
        <v>115</v>
      </c>
      <c r="W2412" s="22">
        <v>5</v>
      </c>
      <c r="X2412" s="23"/>
    </row>
    <row r="2413" spans="1:24" s="1" customFormat="1" ht="21" customHeight="1" x14ac:dyDescent="0.3">
      <c r="A2413" s="24" t="s">
        <v>23</v>
      </c>
      <c r="B2413" s="24" t="s">
        <v>2337</v>
      </c>
      <c r="C2413" s="27" t="s">
        <v>2700</v>
      </c>
      <c r="D2413" s="54"/>
      <c r="E2413" s="39" t="str">
        <f>HYPERLINK("https://www.google.ru/search?q=6004979-870&amp;newwindow=1&amp;tbm=isch","Еще фото")</f>
        <v>Еще фото</v>
      </c>
      <c r="F2413" s="13"/>
      <c r="G2413" s="24" t="s">
        <v>2189</v>
      </c>
      <c r="H2413" s="24" t="s">
        <v>27</v>
      </c>
      <c r="I2413" s="24" t="s">
        <v>2190</v>
      </c>
      <c r="J2413" s="14" t="s">
        <v>29</v>
      </c>
      <c r="K2413" s="15" t="s">
        <v>54</v>
      </c>
      <c r="L2413" s="57"/>
      <c r="M2413" s="14"/>
      <c r="N2413" s="14" t="s">
        <v>434</v>
      </c>
      <c r="O2413" s="14"/>
      <c r="P2413" s="15" t="s">
        <v>51</v>
      </c>
      <c r="Q2413" s="16">
        <v>4099</v>
      </c>
      <c r="R2413" s="17">
        <v>40</v>
      </c>
      <c r="S2413" s="18">
        <v>2828.31</v>
      </c>
      <c r="T2413" s="19" t="s">
        <v>36</v>
      </c>
      <c r="U2413" s="20" t="s">
        <v>126</v>
      </c>
      <c r="V2413" s="21" t="s">
        <v>127</v>
      </c>
      <c r="W2413" s="22">
        <v>5</v>
      </c>
      <c r="X2413" s="23"/>
    </row>
    <row r="2414" spans="1:24" s="1" customFormat="1" ht="21" customHeight="1" x14ac:dyDescent="0.3">
      <c r="A2414" s="24" t="s">
        <v>23</v>
      </c>
      <c r="B2414" s="24" t="s">
        <v>2337</v>
      </c>
      <c r="C2414" s="27" t="s">
        <v>2700</v>
      </c>
      <c r="D2414" s="54"/>
      <c r="E2414" s="39" t="str">
        <f>HYPERLINK("https://www.google.ru/search?q=6004979-870&amp;newwindow=1&amp;tbm=isch","Еще фото")</f>
        <v>Еще фото</v>
      </c>
      <c r="F2414" s="13"/>
      <c r="G2414" s="24" t="s">
        <v>2189</v>
      </c>
      <c r="H2414" s="24" t="s">
        <v>27</v>
      </c>
      <c r="I2414" s="24" t="s">
        <v>2190</v>
      </c>
      <c r="J2414" s="14" t="s">
        <v>29</v>
      </c>
      <c r="K2414" s="15" t="s">
        <v>54</v>
      </c>
      <c r="L2414" s="57"/>
      <c r="M2414" s="14"/>
      <c r="N2414" s="14" t="s">
        <v>434</v>
      </c>
      <c r="O2414" s="14"/>
      <c r="P2414" s="15" t="s">
        <v>51</v>
      </c>
      <c r="Q2414" s="16">
        <v>4099</v>
      </c>
      <c r="R2414" s="17">
        <v>40</v>
      </c>
      <c r="S2414" s="18">
        <v>2828.31</v>
      </c>
      <c r="T2414" s="19" t="s">
        <v>36</v>
      </c>
      <c r="U2414" s="20" t="s">
        <v>128</v>
      </c>
      <c r="V2414" s="21" t="s">
        <v>129</v>
      </c>
      <c r="W2414" s="22">
        <v>4</v>
      </c>
      <c r="X2414" s="23"/>
    </row>
    <row r="2415" spans="1:24" s="1" customFormat="1" ht="21" customHeight="1" x14ac:dyDescent="0.3">
      <c r="A2415" s="24" t="s">
        <v>23</v>
      </c>
      <c r="B2415" s="24" t="s">
        <v>2337</v>
      </c>
      <c r="C2415" s="27" t="s">
        <v>2700</v>
      </c>
      <c r="D2415" s="54"/>
      <c r="E2415" s="39" t="str">
        <f>HYPERLINK("https://www.google.ru/search?q=6004979-870&amp;newwindow=1&amp;tbm=isch","Еще фото")</f>
        <v>Еще фото</v>
      </c>
      <c r="F2415" s="13"/>
      <c r="G2415" s="24" t="s">
        <v>2189</v>
      </c>
      <c r="H2415" s="24" t="s">
        <v>27</v>
      </c>
      <c r="I2415" s="24" t="s">
        <v>2190</v>
      </c>
      <c r="J2415" s="14" t="s">
        <v>29</v>
      </c>
      <c r="K2415" s="15" t="s">
        <v>54</v>
      </c>
      <c r="L2415" s="57"/>
      <c r="M2415" s="14"/>
      <c r="N2415" s="14" t="s">
        <v>434</v>
      </c>
      <c r="O2415" s="14"/>
      <c r="P2415" s="15" t="s">
        <v>51</v>
      </c>
      <c r="Q2415" s="16">
        <v>4099</v>
      </c>
      <c r="R2415" s="17">
        <v>40</v>
      </c>
      <c r="S2415" s="18">
        <v>2828.31</v>
      </c>
      <c r="T2415" s="19" t="s">
        <v>36</v>
      </c>
      <c r="U2415" s="20" t="s">
        <v>59</v>
      </c>
      <c r="V2415" s="21" t="s">
        <v>60</v>
      </c>
      <c r="W2415" s="22">
        <v>13</v>
      </c>
      <c r="X2415" s="23"/>
    </row>
    <row r="2416" spans="1:24" s="1" customFormat="1" ht="32.1" customHeight="1" x14ac:dyDescent="0.3">
      <c r="A2416" s="24" t="s">
        <v>23</v>
      </c>
      <c r="B2416" s="24" t="s">
        <v>2337</v>
      </c>
      <c r="C2416" s="27" t="s">
        <v>2700</v>
      </c>
      <c r="D2416" s="55"/>
      <c r="E2416" s="39" t="str">
        <f>HYPERLINK("https://www.google.ru/search?q=6004979-870&amp;newwindow=1&amp;tbm=isch","Еще фото")</f>
        <v>Еще фото</v>
      </c>
      <c r="F2416" s="13"/>
      <c r="G2416" s="24" t="s">
        <v>2189</v>
      </c>
      <c r="H2416" s="24" t="s">
        <v>27</v>
      </c>
      <c r="I2416" s="24" t="s">
        <v>2190</v>
      </c>
      <c r="J2416" s="14" t="s">
        <v>29</v>
      </c>
      <c r="K2416" s="15" t="s">
        <v>54</v>
      </c>
      <c r="L2416" s="58"/>
      <c r="M2416" s="14"/>
      <c r="N2416" s="14" t="s">
        <v>434</v>
      </c>
      <c r="O2416" s="14"/>
      <c r="P2416" s="15" t="s">
        <v>51</v>
      </c>
      <c r="Q2416" s="16">
        <v>4099</v>
      </c>
      <c r="R2416" s="17">
        <v>40</v>
      </c>
      <c r="S2416" s="18">
        <v>2828.31</v>
      </c>
      <c r="T2416" s="19" t="s">
        <v>36</v>
      </c>
      <c r="U2416" s="20" t="s">
        <v>130</v>
      </c>
      <c r="V2416" s="21" t="s">
        <v>131</v>
      </c>
      <c r="W2416" s="22">
        <v>4</v>
      </c>
      <c r="X2416" s="23"/>
    </row>
    <row r="2417" spans="1:24" s="1" customFormat="1" ht="108" customHeight="1" x14ac:dyDescent="0.3">
      <c r="A2417" s="11" t="s">
        <v>23</v>
      </c>
      <c r="B2417" s="11" t="s">
        <v>2701</v>
      </c>
      <c r="C2417" s="12" t="s">
        <v>2702</v>
      </c>
      <c r="D2417" s="25"/>
      <c r="E2417" s="39" t="str">
        <f>HYPERLINK("https://www.google.ru/search?q=6005048-044&amp;newwindow=1&amp;tbm=isch","Еще фото")</f>
        <v>Еще фото</v>
      </c>
      <c r="F2417" s="13"/>
      <c r="G2417" s="11" t="s">
        <v>2258</v>
      </c>
      <c r="H2417" s="11" t="s">
        <v>27</v>
      </c>
      <c r="I2417" s="14" t="s">
        <v>2190</v>
      </c>
      <c r="J2417" s="14" t="s">
        <v>47</v>
      </c>
      <c r="K2417" s="15" t="s">
        <v>30</v>
      </c>
      <c r="L2417" s="14" t="s">
        <v>2703</v>
      </c>
      <c r="M2417" s="14"/>
      <c r="N2417" s="14" t="s">
        <v>84</v>
      </c>
      <c r="O2417" s="14"/>
      <c r="P2417" s="15" t="s">
        <v>2601</v>
      </c>
      <c r="Q2417" s="16">
        <v>6399</v>
      </c>
      <c r="R2417" s="17">
        <v>40</v>
      </c>
      <c r="S2417" s="18">
        <v>4415.3099999999995</v>
      </c>
      <c r="T2417" s="19" t="s">
        <v>36</v>
      </c>
      <c r="U2417" s="20" t="s">
        <v>37</v>
      </c>
      <c r="V2417" s="21" t="s">
        <v>38</v>
      </c>
      <c r="W2417" s="22">
        <v>1</v>
      </c>
      <c r="X2417" s="23"/>
    </row>
    <row r="2418" spans="1:24" s="1" customFormat="1" ht="21" customHeight="1" x14ac:dyDescent="0.3">
      <c r="A2418" s="11" t="s">
        <v>23</v>
      </c>
      <c r="B2418" s="11" t="s">
        <v>2704</v>
      </c>
      <c r="C2418" s="26" t="s">
        <v>2705</v>
      </c>
      <c r="D2418" s="53"/>
      <c r="E2418" s="39" t="str">
        <f>HYPERLINK("https://www.google.ru/search?q=6005666-010&amp;newwindow=1&amp;tbm=isch","Еще фото")</f>
        <v>Еще фото</v>
      </c>
      <c r="F2418" s="13"/>
      <c r="G2418" s="11" t="s">
        <v>2189</v>
      </c>
      <c r="H2418" s="11" t="s">
        <v>27</v>
      </c>
      <c r="I2418" s="14" t="s">
        <v>2190</v>
      </c>
      <c r="J2418" s="14" t="s">
        <v>212</v>
      </c>
      <c r="K2418" s="15" t="s">
        <v>30</v>
      </c>
      <c r="L2418" s="56"/>
      <c r="M2418" s="14"/>
      <c r="N2418" s="14" t="s">
        <v>33</v>
      </c>
      <c r="O2418" s="14"/>
      <c r="P2418" s="15" t="s">
        <v>779</v>
      </c>
      <c r="Q2418" s="16">
        <v>9099</v>
      </c>
      <c r="R2418" s="17">
        <v>40</v>
      </c>
      <c r="S2418" s="18">
        <v>6278.3099999999995</v>
      </c>
      <c r="T2418" s="19" t="s">
        <v>36</v>
      </c>
      <c r="U2418" s="20" t="s">
        <v>69</v>
      </c>
      <c r="V2418" s="21" t="s">
        <v>75</v>
      </c>
      <c r="W2418" s="22">
        <v>5</v>
      </c>
      <c r="X2418" s="23"/>
    </row>
    <row r="2419" spans="1:24" s="1" customFormat="1" ht="21" customHeight="1" x14ac:dyDescent="0.3">
      <c r="A2419" s="24" t="s">
        <v>23</v>
      </c>
      <c r="B2419" s="24" t="s">
        <v>2704</v>
      </c>
      <c r="C2419" s="27" t="s">
        <v>2705</v>
      </c>
      <c r="D2419" s="54"/>
      <c r="E2419" s="39" t="str">
        <f>HYPERLINK("https://www.google.ru/search?q=6005666-010&amp;newwindow=1&amp;tbm=isch","Еще фото")</f>
        <v>Еще фото</v>
      </c>
      <c r="F2419" s="13"/>
      <c r="G2419" s="24" t="s">
        <v>2189</v>
      </c>
      <c r="H2419" s="24" t="s">
        <v>27</v>
      </c>
      <c r="I2419" s="24" t="s">
        <v>2190</v>
      </c>
      <c r="J2419" s="14" t="s">
        <v>212</v>
      </c>
      <c r="K2419" s="15" t="s">
        <v>30</v>
      </c>
      <c r="L2419" s="57"/>
      <c r="M2419" s="14"/>
      <c r="N2419" s="14" t="s">
        <v>33</v>
      </c>
      <c r="O2419" s="14"/>
      <c r="P2419" s="15" t="s">
        <v>779</v>
      </c>
      <c r="Q2419" s="16">
        <v>9099</v>
      </c>
      <c r="R2419" s="17">
        <v>40</v>
      </c>
      <c r="S2419" s="18">
        <v>6278.3099999999995</v>
      </c>
      <c r="T2419" s="19" t="s">
        <v>36</v>
      </c>
      <c r="U2419" s="20" t="s">
        <v>37</v>
      </c>
      <c r="V2419" s="21" t="s">
        <v>38</v>
      </c>
      <c r="W2419" s="22">
        <v>10</v>
      </c>
      <c r="X2419" s="23"/>
    </row>
    <row r="2420" spans="1:24" s="1" customFormat="1" ht="21" customHeight="1" x14ac:dyDescent="0.3">
      <c r="A2420" s="24" t="s">
        <v>23</v>
      </c>
      <c r="B2420" s="24" t="s">
        <v>2704</v>
      </c>
      <c r="C2420" s="27" t="s">
        <v>2705</v>
      </c>
      <c r="D2420" s="54"/>
      <c r="E2420" s="39" t="str">
        <f>HYPERLINK("https://www.google.ru/search?q=6005666-010&amp;newwindow=1&amp;tbm=isch","Еще фото")</f>
        <v>Еще фото</v>
      </c>
      <c r="F2420" s="13"/>
      <c r="G2420" s="24" t="s">
        <v>2189</v>
      </c>
      <c r="H2420" s="24" t="s">
        <v>27</v>
      </c>
      <c r="I2420" s="24" t="s">
        <v>2190</v>
      </c>
      <c r="J2420" s="14" t="s">
        <v>212</v>
      </c>
      <c r="K2420" s="15" t="s">
        <v>30</v>
      </c>
      <c r="L2420" s="57"/>
      <c r="M2420" s="14"/>
      <c r="N2420" s="14" t="s">
        <v>33</v>
      </c>
      <c r="O2420" s="14"/>
      <c r="P2420" s="15" t="s">
        <v>779</v>
      </c>
      <c r="Q2420" s="16">
        <v>9099</v>
      </c>
      <c r="R2420" s="17">
        <v>40</v>
      </c>
      <c r="S2420" s="18">
        <v>6278.3099999999995</v>
      </c>
      <c r="T2420" s="19" t="s">
        <v>36</v>
      </c>
      <c r="U2420" s="20" t="s">
        <v>39</v>
      </c>
      <c r="V2420" s="21" t="s">
        <v>40</v>
      </c>
      <c r="W2420" s="22">
        <v>7</v>
      </c>
      <c r="X2420" s="23"/>
    </row>
    <row r="2421" spans="1:24" s="1" customFormat="1" ht="21" customHeight="1" x14ac:dyDescent="0.3">
      <c r="A2421" s="24" t="s">
        <v>23</v>
      </c>
      <c r="B2421" s="24" t="s">
        <v>2704</v>
      </c>
      <c r="C2421" s="27" t="s">
        <v>2705</v>
      </c>
      <c r="D2421" s="54"/>
      <c r="E2421" s="39" t="str">
        <f>HYPERLINK("https://www.google.ru/search?q=6005666-010&amp;newwindow=1&amp;tbm=isch","Еще фото")</f>
        <v>Еще фото</v>
      </c>
      <c r="F2421" s="13"/>
      <c r="G2421" s="24" t="s">
        <v>2189</v>
      </c>
      <c r="H2421" s="24" t="s">
        <v>27</v>
      </c>
      <c r="I2421" s="24" t="s">
        <v>2190</v>
      </c>
      <c r="J2421" s="14" t="s">
        <v>212</v>
      </c>
      <c r="K2421" s="15" t="s">
        <v>30</v>
      </c>
      <c r="L2421" s="57"/>
      <c r="M2421" s="14"/>
      <c r="N2421" s="14" t="s">
        <v>33</v>
      </c>
      <c r="O2421" s="14"/>
      <c r="P2421" s="15" t="s">
        <v>779</v>
      </c>
      <c r="Q2421" s="16">
        <v>9099</v>
      </c>
      <c r="R2421" s="17">
        <v>40</v>
      </c>
      <c r="S2421" s="18">
        <v>6278.3099999999995</v>
      </c>
      <c r="T2421" s="19" t="s">
        <v>36</v>
      </c>
      <c r="U2421" s="20" t="s">
        <v>41</v>
      </c>
      <c r="V2421" s="21" t="s">
        <v>42</v>
      </c>
      <c r="W2421" s="22">
        <v>3</v>
      </c>
      <c r="X2421" s="23"/>
    </row>
    <row r="2422" spans="1:24" s="1" customFormat="1" ht="32.1" customHeight="1" x14ac:dyDescent="0.3">
      <c r="A2422" s="24" t="s">
        <v>23</v>
      </c>
      <c r="B2422" s="24" t="s">
        <v>2704</v>
      </c>
      <c r="C2422" s="27" t="s">
        <v>2705</v>
      </c>
      <c r="D2422" s="55"/>
      <c r="E2422" s="39" t="str">
        <f>HYPERLINK("https://www.google.ru/search?q=6005666-010&amp;newwindow=1&amp;tbm=isch","Еще фото")</f>
        <v>Еще фото</v>
      </c>
      <c r="F2422" s="13"/>
      <c r="G2422" s="24" t="s">
        <v>2189</v>
      </c>
      <c r="H2422" s="24" t="s">
        <v>27</v>
      </c>
      <c r="I2422" s="24" t="s">
        <v>2190</v>
      </c>
      <c r="J2422" s="14" t="s">
        <v>212</v>
      </c>
      <c r="K2422" s="15" t="s">
        <v>30</v>
      </c>
      <c r="L2422" s="58"/>
      <c r="M2422" s="14"/>
      <c r="N2422" s="14" t="s">
        <v>33</v>
      </c>
      <c r="O2422" s="14"/>
      <c r="P2422" s="15" t="s">
        <v>779</v>
      </c>
      <c r="Q2422" s="16">
        <v>9099</v>
      </c>
      <c r="R2422" s="17">
        <v>40</v>
      </c>
      <c r="S2422" s="18">
        <v>6278.3099999999995</v>
      </c>
      <c r="T2422" s="19" t="s">
        <v>36</v>
      </c>
      <c r="U2422" s="20" t="s">
        <v>104</v>
      </c>
      <c r="V2422" s="21" t="s">
        <v>105</v>
      </c>
      <c r="W2422" s="22">
        <v>3</v>
      </c>
      <c r="X2422" s="23"/>
    </row>
    <row r="2423" spans="1:24" s="1" customFormat="1" ht="51.95" customHeight="1" x14ac:dyDescent="0.3">
      <c r="A2423" s="11" t="s">
        <v>23</v>
      </c>
      <c r="B2423" s="11" t="s">
        <v>2706</v>
      </c>
      <c r="C2423" s="12" t="s">
        <v>2707</v>
      </c>
      <c r="D2423" s="59"/>
      <c r="E2423" s="39" t="str">
        <f>HYPERLINK("https://www.google.ru/search?q=6005900-001&amp;newwindow=1&amp;tbm=isch","Еще фото")</f>
        <v>Еще фото</v>
      </c>
      <c r="F2423" s="13" t="s">
        <v>98</v>
      </c>
      <c r="G2423" s="11" t="s">
        <v>2202</v>
      </c>
      <c r="H2423" s="11" t="s">
        <v>27</v>
      </c>
      <c r="I2423" s="14" t="s">
        <v>2190</v>
      </c>
      <c r="J2423" s="14" t="s">
        <v>29</v>
      </c>
      <c r="K2423" s="15" t="s">
        <v>30</v>
      </c>
      <c r="L2423" s="56" t="s">
        <v>2708</v>
      </c>
      <c r="M2423" s="14"/>
      <c r="N2423" s="14" t="s">
        <v>33</v>
      </c>
      <c r="O2423" s="14"/>
      <c r="P2423" s="15" t="s">
        <v>100</v>
      </c>
      <c r="Q2423" s="16">
        <v>10999</v>
      </c>
      <c r="R2423" s="17">
        <v>40</v>
      </c>
      <c r="S2423" s="18">
        <v>7589.3099999999986</v>
      </c>
      <c r="T2423" s="19" t="s">
        <v>36</v>
      </c>
      <c r="U2423" s="20" t="s">
        <v>37</v>
      </c>
      <c r="V2423" s="21" t="s">
        <v>38</v>
      </c>
      <c r="W2423" s="22">
        <v>1</v>
      </c>
      <c r="X2423" s="23"/>
    </row>
    <row r="2424" spans="1:24" s="1" customFormat="1" ht="60.95" customHeight="1" x14ac:dyDescent="0.3">
      <c r="A2424" s="24" t="s">
        <v>23</v>
      </c>
      <c r="B2424" s="24" t="s">
        <v>2706</v>
      </c>
      <c r="C2424" s="12" t="s">
        <v>2707</v>
      </c>
      <c r="D2424" s="60"/>
      <c r="E2424" s="39" t="str">
        <f>HYPERLINK("https://www.google.ru/search?q=6005900-001&amp;newwindow=1&amp;tbm=isch","Еще фото")</f>
        <v>Еще фото</v>
      </c>
      <c r="F2424" s="13" t="s">
        <v>98</v>
      </c>
      <c r="G2424" s="24" t="s">
        <v>2202</v>
      </c>
      <c r="H2424" s="24" t="s">
        <v>27</v>
      </c>
      <c r="I2424" s="24" t="s">
        <v>2190</v>
      </c>
      <c r="J2424" s="14" t="s">
        <v>29</v>
      </c>
      <c r="K2424" s="15" t="s">
        <v>30</v>
      </c>
      <c r="L2424" s="58"/>
      <c r="M2424" s="14"/>
      <c r="N2424" s="14" t="s">
        <v>33</v>
      </c>
      <c r="O2424" s="14"/>
      <c r="P2424" s="15" t="s">
        <v>100</v>
      </c>
      <c r="Q2424" s="16">
        <v>10999</v>
      </c>
      <c r="R2424" s="17">
        <v>40</v>
      </c>
      <c r="S2424" s="18">
        <v>7589.3099999999986</v>
      </c>
      <c r="T2424" s="19" t="s">
        <v>36</v>
      </c>
      <c r="U2424" s="20" t="s">
        <v>39</v>
      </c>
      <c r="V2424" s="21" t="s">
        <v>40</v>
      </c>
      <c r="W2424" s="22">
        <v>1</v>
      </c>
      <c r="X2424" s="23"/>
    </row>
    <row r="2425" spans="1:24" s="1" customFormat="1" ht="21" customHeight="1" x14ac:dyDescent="0.3">
      <c r="A2425" s="11" t="s">
        <v>23</v>
      </c>
      <c r="B2425" s="11" t="s">
        <v>2706</v>
      </c>
      <c r="C2425" s="26" t="s">
        <v>2709</v>
      </c>
      <c r="D2425" s="53"/>
      <c r="E2425" s="39" t="str">
        <f>HYPERLINK("https://www.google.ru/search?q=6005900-025&amp;newwindow=1&amp;tbm=isch","Еще фото")</f>
        <v>Еще фото</v>
      </c>
      <c r="F2425" s="13"/>
      <c r="G2425" s="11" t="s">
        <v>2202</v>
      </c>
      <c r="H2425" s="11" t="s">
        <v>27</v>
      </c>
      <c r="I2425" s="14" t="s">
        <v>2190</v>
      </c>
      <c r="J2425" s="14" t="s">
        <v>29</v>
      </c>
      <c r="K2425" s="15" t="s">
        <v>30</v>
      </c>
      <c r="L2425" s="56" t="s">
        <v>2708</v>
      </c>
      <c r="M2425" s="14"/>
      <c r="N2425" s="14" t="s">
        <v>84</v>
      </c>
      <c r="O2425" s="14"/>
      <c r="P2425" s="15" t="s">
        <v>100</v>
      </c>
      <c r="Q2425" s="16">
        <v>10499</v>
      </c>
      <c r="R2425" s="17">
        <v>40</v>
      </c>
      <c r="S2425" s="18">
        <v>7244.3099999999986</v>
      </c>
      <c r="T2425" s="19" t="s">
        <v>36</v>
      </c>
      <c r="U2425" s="20" t="s">
        <v>37</v>
      </c>
      <c r="V2425" s="21" t="s">
        <v>38</v>
      </c>
      <c r="W2425" s="22">
        <v>6</v>
      </c>
      <c r="X2425" s="23"/>
    </row>
    <row r="2426" spans="1:24" s="1" customFormat="1" ht="21" customHeight="1" x14ac:dyDescent="0.3">
      <c r="A2426" s="24" t="s">
        <v>23</v>
      </c>
      <c r="B2426" s="24" t="s">
        <v>2706</v>
      </c>
      <c r="C2426" s="27" t="s">
        <v>2709</v>
      </c>
      <c r="D2426" s="54"/>
      <c r="E2426" s="39" t="str">
        <f>HYPERLINK("https://www.google.ru/search?q=6005900-025&amp;newwindow=1&amp;tbm=isch","Еще фото")</f>
        <v>Еще фото</v>
      </c>
      <c r="F2426" s="13"/>
      <c r="G2426" s="24" t="s">
        <v>2202</v>
      </c>
      <c r="H2426" s="24" t="s">
        <v>27</v>
      </c>
      <c r="I2426" s="24" t="s">
        <v>2190</v>
      </c>
      <c r="J2426" s="14" t="s">
        <v>29</v>
      </c>
      <c r="K2426" s="15" t="s">
        <v>30</v>
      </c>
      <c r="L2426" s="57"/>
      <c r="M2426" s="14"/>
      <c r="N2426" s="14" t="s">
        <v>84</v>
      </c>
      <c r="O2426" s="14"/>
      <c r="P2426" s="15" t="s">
        <v>100</v>
      </c>
      <c r="Q2426" s="16">
        <v>10499</v>
      </c>
      <c r="R2426" s="17">
        <v>40</v>
      </c>
      <c r="S2426" s="18">
        <v>7244.3099999999986</v>
      </c>
      <c r="T2426" s="19" t="s">
        <v>36</v>
      </c>
      <c r="U2426" s="20" t="s">
        <v>39</v>
      </c>
      <c r="V2426" s="21" t="s">
        <v>40</v>
      </c>
      <c r="W2426" s="22">
        <v>15</v>
      </c>
      <c r="X2426" s="23"/>
    </row>
    <row r="2427" spans="1:24" s="1" customFormat="1" ht="21" customHeight="1" x14ac:dyDescent="0.3">
      <c r="A2427" s="24" t="s">
        <v>23</v>
      </c>
      <c r="B2427" s="24" t="s">
        <v>2706</v>
      </c>
      <c r="C2427" s="27" t="s">
        <v>2709</v>
      </c>
      <c r="D2427" s="54"/>
      <c r="E2427" s="39" t="str">
        <f>HYPERLINK("https://www.google.ru/search?q=6005900-025&amp;newwindow=1&amp;tbm=isch","Еще фото")</f>
        <v>Еще фото</v>
      </c>
      <c r="F2427" s="13"/>
      <c r="G2427" s="24" t="s">
        <v>2202</v>
      </c>
      <c r="H2427" s="24" t="s">
        <v>27</v>
      </c>
      <c r="I2427" s="24" t="s">
        <v>2190</v>
      </c>
      <c r="J2427" s="14" t="s">
        <v>29</v>
      </c>
      <c r="K2427" s="15" t="s">
        <v>30</v>
      </c>
      <c r="L2427" s="57"/>
      <c r="M2427" s="14"/>
      <c r="N2427" s="14" t="s">
        <v>84</v>
      </c>
      <c r="O2427" s="14"/>
      <c r="P2427" s="15" t="s">
        <v>100</v>
      </c>
      <c r="Q2427" s="16">
        <v>10499</v>
      </c>
      <c r="R2427" s="17">
        <v>40</v>
      </c>
      <c r="S2427" s="18">
        <v>7244.3099999999986</v>
      </c>
      <c r="T2427" s="19" t="s">
        <v>36</v>
      </c>
      <c r="U2427" s="20" t="s">
        <v>41</v>
      </c>
      <c r="V2427" s="21" t="s">
        <v>42</v>
      </c>
      <c r="W2427" s="22">
        <v>22</v>
      </c>
      <c r="X2427" s="23"/>
    </row>
    <row r="2428" spans="1:24" s="1" customFormat="1" ht="21" customHeight="1" x14ac:dyDescent="0.3">
      <c r="A2428" s="24" t="s">
        <v>23</v>
      </c>
      <c r="B2428" s="24" t="s">
        <v>2706</v>
      </c>
      <c r="C2428" s="27" t="s">
        <v>2709</v>
      </c>
      <c r="D2428" s="54"/>
      <c r="E2428" s="39" t="str">
        <f>HYPERLINK("https://www.google.ru/search?q=6005900-025&amp;newwindow=1&amp;tbm=isch","Еще фото")</f>
        <v>Еще фото</v>
      </c>
      <c r="F2428" s="13"/>
      <c r="G2428" s="24" t="s">
        <v>2202</v>
      </c>
      <c r="H2428" s="24" t="s">
        <v>27</v>
      </c>
      <c r="I2428" s="24" t="s">
        <v>2190</v>
      </c>
      <c r="J2428" s="14" t="s">
        <v>29</v>
      </c>
      <c r="K2428" s="15" t="s">
        <v>30</v>
      </c>
      <c r="L2428" s="57"/>
      <c r="M2428" s="14"/>
      <c r="N2428" s="14" t="s">
        <v>84</v>
      </c>
      <c r="O2428" s="14"/>
      <c r="P2428" s="15" t="s">
        <v>100</v>
      </c>
      <c r="Q2428" s="16">
        <v>10499</v>
      </c>
      <c r="R2428" s="17">
        <v>40</v>
      </c>
      <c r="S2428" s="18">
        <v>7244.3099999999986</v>
      </c>
      <c r="T2428" s="19" t="s">
        <v>36</v>
      </c>
      <c r="U2428" s="20" t="s">
        <v>43</v>
      </c>
      <c r="V2428" s="21" t="s">
        <v>44</v>
      </c>
      <c r="W2428" s="22">
        <v>9</v>
      </c>
      <c r="X2428" s="23"/>
    </row>
    <row r="2429" spans="1:24" s="1" customFormat="1" ht="32.1" customHeight="1" x14ac:dyDescent="0.3">
      <c r="A2429" s="24" t="s">
        <v>23</v>
      </c>
      <c r="B2429" s="24" t="s">
        <v>2706</v>
      </c>
      <c r="C2429" s="27" t="s">
        <v>2709</v>
      </c>
      <c r="D2429" s="55"/>
      <c r="E2429" s="39" t="str">
        <f>HYPERLINK("https://www.google.ru/search?q=6005900-025&amp;newwindow=1&amp;tbm=isch","Еще фото")</f>
        <v>Еще фото</v>
      </c>
      <c r="F2429" s="13"/>
      <c r="G2429" s="24" t="s">
        <v>2202</v>
      </c>
      <c r="H2429" s="24" t="s">
        <v>27</v>
      </c>
      <c r="I2429" s="24" t="s">
        <v>2190</v>
      </c>
      <c r="J2429" s="14" t="s">
        <v>29</v>
      </c>
      <c r="K2429" s="15" t="s">
        <v>30</v>
      </c>
      <c r="L2429" s="58"/>
      <c r="M2429" s="14"/>
      <c r="N2429" s="14" t="s">
        <v>84</v>
      </c>
      <c r="O2429" s="14"/>
      <c r="P2429" s="15" t="s">
        <v>100</v>
      </c>
      <c r="Q2429" s="16">
        <v>10499</v>
      </c>
      <c r="R2429" s="17">
        <v>40</v>
      </c>
      <c r="S2429" s="18">
        <v>7244.3099999999986</v>
      </c>
      <c r="T2429" s="19" t="s">
        <v>36</v>
      </c>
      <c r="U2429" s="20" t="s">
        <v>104</v>
      </c>
      <c r="V2429" s="21" t="s">
        <v>105</v>
      </c>
      <c r="W2429" s="22">
        <v>4</v>
      </c>
      <c r="X2429" s="23"/>
    </row>
    <row r="2430" spans="1:24" s="1" customFormat="1" ht="21" customHeight="1" x14ac:dyDescent="0.3">
      <c r="A2430" s="11" t="s">
        <v>23</v>
      </c>
      <c r="B2430" s="11" t="s">
        <v>2706</v>
      </c>
      <c r="C2430" s="26" t="s">
        <v>2710</v>
      </c>
      <c r="D2430" s="53"/>
      <c r="E2430" s="39" t="str">
        <f>HYPERLINK("https://www.google.ru/search?q=6005900-712&amp;newwindow=1&amp;tbm=isch","Еще фото")</f>
        <v>Еще фото</v>
      </c>
      <c r="F2430" s="13"/>
      <c r="G2430" s="11" t="s">
        <v>2202</v>
      </c>
      <c r="H2430" s="11" t="s">
        <v>27</v>
      </c>
      <c r="I2430" s="14" t="s">
        <v>2190</v>
      </c>
      <c r="J2430" s="14" t="s">
        <v>29</v>
      </c>
      <c r="K2430" s="15" t="s">
        <v>30</v>
      </c>
      <c r="L2430" s="56"/>
      <c r="M2430" s="14"/>
      <c r="N2430" s="14" t="s">
        <v>125</v>
      </c>
      <c r="O2430" s="14"/>
      <c r="P2430" s="15" t="s">
        <v>279</v>
      </c>
      <c r="Q2430" s="16">
        <v>10499</v>
      </c>
      <c r="R2430" s="17">
        <v>40</v>
      </c>
      <c r="S2430" s="18">
        <v>7244.3099999999986</v>
      </c>
      <c r="T2430" s="19" t="s">
        <v>36</v>
      </c>
      <c r="U2430" s="20" t="s">
        <v>37</v>
      </c>
      <c r="V2430" s="21" t="s">
        <v>38</v>
      </c>
      <c r="W2430" s="22">
        <v>12</v>
      </c>
      <c r="X2430" s="23"/>
    </row>
    <row r="2431" spans="1:24" s="1" customFormat="1" ht="21" customHeight="1" x14ac:dyDescent="0.3">
      <c r="A2431" s="24" t="s">
        <v>23</v>
      </c>
      <c r="B2431" s="24" t="s">
        <v>2706</v>
      </c>
      <c r="C2431" s="27" t="s">
        <v>2710</v>
      </c>
      <c r="D2431" s="54"/>
      <c r="E2431" s="39" t="str">
        <f>HYPERLINK("https://www.google.ru/search?q=6005900-712&amp;newwindow=1&amp;tbm=isch","Еще фото")</f>
        <v>Еще фото</v>
      </c>
      <c r="F2431" s="13"/>
      <c r="G2431" s="24" t="s">
        <v>2202</v>
      </c>
      <c r="H2431" s="24" t="s">
        <v>27</v>
      </c>
      <c r="I2431" s="24" t="s">
        <v>2190</v>
      </c>
      <c r="J2431" s="14" t="s">
        <v>29</v>
      </c>
      <c r="K2431" s="15" t="s">
        <v>30</v>
      </c>
      <c r="L2431" s="57"/>
      <c r="M2431" s="14"/>
      <c r="N2431" s="14" t="s">
        <v>125</v>
      </c>
      <c r="O2431" s="14"/>
      <c r="P2431" s="15" t="s">
        <v>279</v>
      </c>
      <c r="Q2431" s="16">
        <v>10499</v>
      </c>
      <c r="R2431" s="17">
        <v>40</v>
      </c>
      <c r="S2431" s="18">
        <v>7244.3099999999986</v>
      </c>
      <c r="T2431" s="19" t="s">
        <v>36</v>
      </c>
      <c r="U2431" s="20" t="s">
        <v>39</v>
      </c>
      <c r="V2431" s="21" t="s">
        <v>40</v>
      </c>
      <c r="W2431" s="22">
        <v>16</v>
      </c>
      <c r="X2431" s="23"/>
    </row>
    <row r="2432" spans="1:24" s="1" customFormat="1" ht="21" customHeight="1" x14ac:dyDescent="0.3">
      <c r="A2432" s="24" t="s">
        <v>23</v>
      </c>
      <c r="B2432" s="24" t="s">
        <v>2706</v>
      </c>
      <c r="C2432" s="27" t="s">
        <v>2710</v>
      </c>
      <c r="D2432" s="54"/>
      <c r="E2432" s="39" t="str">
        <f>HYPERLINK("https://www.google.ru/search?q=6005900-712&amp;newwindow=1&amp;tbm=isch","Еще фото")</f>
        <v>Еще фото</v>
      </c>
      <c r="F2432" s="13"/>
      <c r="G2432" s="24" t="s">
        <v>2202</v>
      </c>
      <c r="H2432" s="24" t="s">
        <v>27</v>
      </c>
      <c r="I2432" s="24" t="s">
        <v>2190</v>
      </c>
      <c r="J2432" s="14" t="s">
        <v>29</v>
      </c>
      <c r="K2432" s="15" t="s">
        <v>30</v>
      </c>
      <c r="L2432" s="57"/>
      <c r="M2432" s="14"/>
      <c r="N2432" s="14" t="s">
        <v>125</v>
      </c>
      <c r="O2432" s="14"/>
      <c r="P2432" s="15" t="s">
        <v>279</v>
      </c>
      <c r="Q2432" s="16">
        <v>10499</v>
      </c>
      <c r="R2432" s="17">
        <v>40</v>
      </c>
      <c r="S2432" s="18">
        <v>7244.3099999999986</v>
      </c>
      <c r="T2432" s="19" t="s">
        <v>36</v>
      </c>
      <c r="U2432" s="20" t="s">
        <v>41</v>
      </c>
      <c r="V2432" s="21" t="s">
        <v>42</v>
      </c>
      <c r="W2432" s="22">
        <v>17</v>
      </c>
      <c r="X2432" s="23"/>
    </row>
    <row r="2433" spans="1:24" s="1" customFormat="1" ht="21" customHeight="1" x14ac:dyDescent="0.3">
      <c r="A2433" s="24" t="s">
        <v>23</v>
      </c>
      <c r="B2433" s="24" t="s">
        <v>2706</v>
      </c>
      <c r="C2433" s="27" t="s">
        <v>2710</v>
      </c>
      <c r="D2433" s="54"/>
      <c r="E2433" s="39" t="str">
        <f>HYPERLINK("https://www.google.ru/search?q=6005900-712&amp;newwindow=1&amp;tbm=isch","Еще фото")</f>
        <v>Еще фото</v>
      </c>
      <c r="F2433" s="13"/>
      <c r="G2433" s="24" t="s">
        <v>2202</v>
      </c>
      <c r="H2433" s="24" t="s">
        <v>27</v>
      </c>
      <c r="I2433" s="24" t="s">
        <v>2190</v>
      </c>
      <c r="J2433" s="14" t="s">
        <v>29</v>
      </c>
      <c r="K2433" s="15" t="s">
        <v>30</v>
      </c>
      <c r="L2433" s="57"/>
      <c r="M2433" s="14"/>
      <c r="N2433" s="14" t="s">
        <v>125</v>
      </c>
      <c r="O2433" s="14"/>
      <c r="P2433" s="15" t="s">
        <v>279</v>
      </c>
      <c r="Q2433" s="16">
        <v>10499</v>
      </c>
      <c r="R2433" s="17">
        <v>40</v>
      </c>
      <c r="S2433" s="18">
        <v>7244.3099999999986</v>
      </c>
      <c r="T2433" s="19" t="s">
        <v>36</v>
      </c>
      <c r="U2433" s="20" t="s">
        <v>43</v>
      </c>
      <c r="V2433" s="21" t="s">
        <v>44</v>
      </c>
      <c r="W2433" s="22">
        <v>7</v>
      </c>
      <c r="X2433" s="23"/>
    </row>
    <row r="2434" spans="1:24" s="1" customFormat="1" ht="32.1" customHeight="1" x14ac:dyDescent="0.3">
      <c r="A2434" s="24" t="s">
        <v>23</v>
      </c>
      <c r="B2434" s="24" t="s">
        <v>2706</v>
      </c>
      <c r="C2434" s="27" t="s">
        <v>2710</v>
      </c>
      <c r="D2434" s="55"/>
      <c r="E2434" s="39" t="str">
        <f>HYPERLINK("https://www.google.ru/search?q=6005900-712&amp;newwindow=1&amp;tbm=isch","Еще фото")</f>
        <v>Еще фото</v>
      </c>
      <c r="F2434" s="13"/>
      <c r="G2434" s="24" t="s">
        <v>2202</v>
      </c>
      <c r="H2434" s="24" t="s">
        <v>27</v>
      </c>
      <c r="I2434" s="24" t="s">
        <v>2190</v>
      </c>
      <c r="J2434" s="14" t="s">
        <v>29</v>
      </c>
      <c r="K2434" s="15" t="s">
        <v>30</v>
      </c>
      <c r="L2434" s="58"/>
      <c r="M2434" s="14"/>
      <c r="N2434" s="14" t="s">
        <v>125</v>
      </c>
      <c r="O2434" s="14"/>
      <c r="P2434" s="15" t="s">
        <v>279</v>
      </c>
      <c r="Q2434" s="16">
        <v>10499</v>
      </c>
      <c r="R2434" s="17">
        <v>40</v>
      </c>
      <c r="S2434" s="18">
        <v>7244.3099999999986</v>
      </c>
      <c r="T2434" s="19" t="s">
        <v>36</v>
      </c>
      <c r="U2434" s="20" t="s">
        <v>104</v>
      </c>
      <c r="V2434" s="21" t="s">
        <v>105</v>
      </c>
      <c r="W2434" s="22">
        <v>2</v>
      </c>
      <c r="X2434" s="23"/>
    </row>
    <row r="2435" spans="1:24" s="1" customFormat="1" ht="108" customHeight="1" x14ac:dyDescent="0.3">
      <c r="A2435" s="11" t="s">
        <v>23</v>
      </c>
      <c r="B2435" s="11" t="s">
        <v>2711</v>
      </c>
      <c r="C2435" s="12" t="s">
        <v>2712</v>
      </c>
      <c r="D2435" s="25"/>
      <c r="E2435" s="39" t="str">
        <f>HYPERLINK("https://www.google.ru/search?q=6006245-651&amp;newwindow=1&amp;tbm=isch","Еще фото")</f>
        <v>Еще фото</v>
      </c>
      <c r="F2435" s="13"/>
      <c r="G2435" s="11" t="s">
        <v>2198</v>
      </c>
      <c r="H2435" s="11" t="s">
        <v>27</v>
      </c>
      <c r="I2435" s="14" t="s">
        <v>2190</v>
      </c>
      <c r="J2435" s="14" t="s">
        <v>47</v>
      </c>
      <c r="K2435" s="15" t="s">
        <v>30</v>
      </c>
      <c r="L2435" s="14" t="s">
        <v>2713</v>
      </c>
      <c r="M2435" s="14"/>
      <c r="N2435" s="14" t="s">
        <v>249</v>
      </c>
      <c r="O2435" s="14"/>
      <c r="P2435" s="15" t="s">
        <v>113</v>
      </c>
      <c r="Q2435" s="16">
        <v>9899</v>
      </c>
      <c r="R2435" s="17">
        <v>40</v>
      </c>
      <c r="S2435" s="18">
        <v>6830.3099999999995</v>
      </c>
      <c r="T2435" s="19" t="s">
        <v>36</v>
      </c>
      <c r="U2435" s="20" t="s">
        <v>37</v>
      </c>
      <c r="V2435" s="21" t="s">
        <v>38</v>
      </c>
      <c r="W2435" s="22">
        <v>3</v>
      </c>
      <c r="X2435" s="23"/>
    </row>
    <row r="2436" spans="1:24" s="1" customFormat="1" ht="51.95" customHeight="1" x14ac:dyDescent="0.3">
      <c r="A2436" s="11" t="s">
        <v>23</v>
      </c>
      <c r="B2436" s="11" t="s">
        <v>2714</v>
      </c>
      <c r="C2436" s="12" t="s">
        <v>2715</v>
      </c>
      <c r="D2436" s="59"/>
      <c r="E2436" s="39" t="str">
        <f>HYPERLINK("https://www.google.ru/search?q=6007591-011&amp;newwindow=1&amp;tbm=isch","Еще фото")</f>
        <v>Еще фото</v>
      </c>
      <c r="F2436" s="13"/>
      <c r="G2436" s="11" t="s">
        <v>2198</v>
      </c>
      <c r="H2436" s="11" t="s">
        <v>27</v>
      </c>
      <c r="I2436" s="14" t="s">
        <v>2190</v>
      </c>
      <c r="J2436" s="14" t="s">
        <v>47</v>
      </c>
      <c r="K2436" s="15" t="s">
        <v>30</v>
      </c>
      <c r="L2436" s="56" t="s">
        <v>2716</v>
      </c>
      <c r="M2436" s="14"/>
      <c r="N2436" s="14" t="s">
        <v>84</v>
      </c>
      <c r="O2436" s="14"/>
      <c r="P2436" s="15" t="s">
        <v>113</v>
      </c>
      <c r="Q2436" s="16">
        <v>8899</v>
      </c>
      <c r="R2436" s="17">
        <v>40</v>
      </c>
      <c r="S2436" s="18">
        <v>6140.3099999999995</v>
      </c>
      <c r="T2436" s="19" t="s">
        <v>36</v>
      </c>
      <c r="U2436" s="20" t="s">
        <v>37</v>
      </c>
      <c r="V2436" s="21" t="s">
        <v>38</v>
      </c>
      <c r="W2436" s="22">
        <v>4</v>
      </c>
      <c r="X2436" s="23"/>
    </row>
    <row r="2437" spans="1:24" s="1" customFormat="1" ht="60.95" customHeight="1" x14ac:dyDescent="0.3">
      <c r="A2437" s="24" t="s">
        <v>23</v>
      </c>
      <c r="B2437" s="24" t="s">
        <v>2714</v>
      </c>
      <c r="C2437" s="12" t="s">
        <v>2715</v>
      </c>
      <c r="D2437" s="60"/>
      <c r="E2437" s="39" t="str">
        <f>HYPERLINK("https://www.google.ru/search?q=6007591-011&amp;newwindow=1&amp;tbm=isch","Еще фото")</f>
        <v>Еще фото</v>
      </c>
      <c r="F2437" s="13"/>
      <c r="G2437" s="24" t="s">
        <v>2198</v>
      </c>
      <c r="H2437" s="24" t="s">
        <v>27</v>
      </c>
      <c r="I2437" s="24" t="s">
        <v>2190</v>
      </c>
      <c r="J2437" s="14" t="s">
        <v>47</v>
      </c>
      <c r="K2437" s="15" t="s">
        <v>30</v>
      </c>
      <c r="L2437" s="58"/>
      <c r="M2437" s="14"/>
      <c r="N2437" s="14" t="s">
        <v>84</v>
      </c>
      <c r="O2437" s="14"/>
      <c r="P2437" s="15" t="s">
        <v>113</v>
      </c>
      <c r="Q2437" s="16">
        <v>8899</v>
      </c>
      <c r="R2437" s="17">
        <v>40</v>
      </c>
      <c r="S2437" s="18">
        <v>6140.3099999999995</v>
      </c>
      <c r="T2437" s="19" t="s">
        <v>36</v>
      </c>
      <c r="U2437" s="20" t="s">
        <v>104</v>
      </c>
      <c r="V2437" s="21" t="s">
        <v>105</v>
      </c>
      <c r="W2437" s="22">
        <v>1</v>
      </c>
      <c r="X2437" s="23"/>
    </row>
    <row r="2438" spans="1:24" s="1" customFormat="1" ht="21" customHeight="1" x14ac:dyDescent="0.3">
      <c r="A2438" s="11" t="s">
        <v>23</v>
      </c>
      <c r="B2438" s="11" t="s">
        <v>2270</v>
      </c>
      <c r="C2438" s="26" t="s">
        <v>2717</v>
      </c>
      <c r="D2438" s="53"/>
      <c r="E2438" s="39" t="str">
        <f>HYPERLINK("https://www.google.ru/search?q=6009316-425&amp;newwindow=1&amp;tbm=isch","Еще фото")</f>
        <v>Еще фото</v>
      </c>
      <c r="F2438" s="13"/>
      <c r="G2438" s="11" t="s">
        <v>2198</v>
      </c>
      <c r="H2438" s="11" t="s">
        <v>27</v>
      </c>
      <c r="I2438" s="14" t="s">
        <v>2190</v>
      </c>
      <c r="J2438" s="14" t="s">
        <v>47</v>
      </c>
      <c r="K2438" s="15" t="s">
        <v>54</v>
      </c>
      <c r="L2438" s="56"/>
      <c r="M2438" s="14"/>
      <c r="N2438" s="14" t="s">
        <v>50</v>
      </c>
      <c r="O2438" s="14"/>
      <c r="P2438" s="15" t="s">
        <v>385</v>
      </c>
      <c r="Q2438" s="16">
        <v>6399</v>
      </c>
      <c r="R2438" s="17">
        <v>40</v>
      </c>
      <c r="S2438" s="18">
        <v>4415.3099999999995</v>
      </c>
      <c r="T2438" s="19" t="s">
        <v>36</v>
      </c>
      <c r="U2438" s="20" t="s">
        <v>114</v>
      </c>
      <c r="V2438" s="21" t="s">
        <v>115</v>
      </c>
      <c r="W2438" s="22">
        <v>6</v>
      </c>
      <c r="X2438" s="23"/>
    </row>
    <row r="2439" spans="1:24" s="1" customFormat="1" ht="21" customHeight="1" x14ac:dyDescent="0.3">
      <c r="A2439" s="24" t="s">
        <v>23</v>
      </c>
      <c r="B2439" s="24" t="s">
        <v>2270</v>
      </c>
      <c r="C2439" s="27" t="s">
        <v>2717</v>
      </c>
      <c r="D2439" s="54"/>
      <c r="E2439" s="39" t="str">
        <f>HYPERLINK("https://www.google.ru/search?q=6009316-425&amp;newwindow=1&amp;tbm=isch","Еще фото")</f>
        <v>Еще фото</v>
      </c>
      <c r="F2439" s="13"/>
      <c r="G2439" s="24" t="s">
        <v>2198</v>
      </c>
      <c r="H2439" s="24" t="s">
        <v>27</v>
      </c>
      <c r="I2439" s="24" t="s">
        <v>2190</v>
      </c>
      <c r="J2439" s="14" t="s">
        <v>47</v>
      </c>
      <c r="K2439" s="15" t="s">
        <v>54</v>
      </c>
      <c r="L2439" s="57"/>
      <c r="M2439" s="14"/>
      <c r="N2439" s="14" t="s">
        <v>50</v>
      </c>
      <c r="O2439" s="14"/>
      <c r="P2439" s="15" t="s">
        <v>385</v>
      </c>
      <c r="Q2439" s="16">
        <v>6399</v>
      </c>
      <c r="R2439" s="17">
        <v>40</v>
      </c>
      <c r="S2439" s="18">
        <v>4415.3099999999995</v>
      </c>
      <c r="T2439" s="19" t="s">
        <v>36</v>
      </c>
      <c r="U2439" s="20" t="s">
        <v>126</v>
      </c>
      <c r="V2439" s="21" t="s">
        <v>127</v>
      </c>
      <c r="W2439" s="22">
        <v>9</v>
      </c>
      <c r="X2439" s="23"/>
    </row>
    <row r="2440" spans="1:24" s="1" customFormat="1" ht="21" customHeight="1" x14ac:dyDescent="0.3">
      <c r="A2440" s="24" t="s">
        <v>23</v>
      </c>
      <c r="B2440" s="24" t="s">
        <v>2270</v>
      </c>
      <c r="C2440" s="27" t="s">
        <v>2717</v>
      </c>
      <c r="D2440" s="54"/>
      <c r="E2440" s="39" t="str">
        <f>HYPERLINK("https://www.google.ru/search?q=6009316-425&amp;newwindow=1&amp;tbm=isch","Еще фото")</f>
        <v>Еще фото</v>
      </c>
      <c r="F2440" s="13"/>
      <c r="G2440" s="24" t="s">
        <v>2198</v>
      </c>
      <c r="H2440" s="24" t="s">
        <v>27</v>
      </c>
      <c r="I2440" s="24" t="s">
        <v>2190</v>
      </c>
      <c r="J2440" s="14" t="s">
        <v>47</v>
      </c>
      <c r="K2440" s="15" t="s">
        <v>54</v>
      </c>
      <c r="L2440" s="57"/>
      <c r="M2440" s="14"/>
      <c r="N2440" s="14" t="s">
        <v>50</v>
      </c>
      <c r="O2440" s="14"/>
      <c r="P2440" s="15" t="s">
        <v>385</v>
      </c>
      <c r="Q2440" s="16">
        <v>6399</v>
      </c>
      <c r="R2440" s="17">
        <v>40</v>
      </c>
      <c r="S2440" s="18">
        <v>4415.3099999999995</v>
      </c>
      <c r="T2440" s="19" t="s">
        <v>36</v>
      </c>
      <c r="U2440" s="20" t="s">
        <v>128</v>
      </c>
      <c r="V2440" s="21" t="s">
        <v>129</v>
      </c>
      <c r="W2440" s="22">
        <v>8</v>
      </c>
      <c r="X2440" s="23"/>
    </row>
    <row r="2441" spans="1:24" s="1" customFormat="1" ht="21" customHeight="1" x14ac:dyDescent="0.3">
      <c r="A2441" s="24" t="s">
        <v>23</v>
      </c>
      <c r="B2441" s="24" t="s">
        <v>2270</v>
      </c>
      <c r="C2441" s="27" t="s">
        <v>2717</v>
      </c>
      <c r="D2441" s="54"/>
      <c r="E2441" s="39" t="str">
        <f>HYPERLINK("https://www.google.ru/search?q=6009316-425&amp;newwindow=1&amp;tbm=isch","Еще фото")</f>
        <v>Еще фото</v>
      </c>
      <c r="F2441" s="13"/>
      <c r="G2441" s="24" t="s">
        <v>2198</v>
      </c>
      <c r="H2441" s="24" t="s">
        <v>27</v>
      </c>
      <c r="I2441" s="24" t="s">
        <v>2190</v>
      </c>
      <c r="J2441" s="14" t="s">
        <v>47</v>
      </c>
      <c r="K2441" s="15" t="s">
        <v>54</v>
      </c>
      <c r="L2441" s="57"/>
      <c r="M2441" s="14"/>
      <c r="N2441" s="14" t="s">
        <v>50</v>
      </c>
      <c r="O2441" s="14"/>
      <c r="P2441" s="15" t="s">
        <v>385</v>
      </c>
      <c r="Q2441" s="16">
        <v>6399</v>
      </c>
      <c r="R2441" s="17">
        <v>40</v>
      </c>
      <c r="S2441" s="18">
        <v>4415.3099999999995</v>
      </c>
      <c r="T2441" s="19" t="s">
        <v>36</v>
      </c>
      <c r="U2441" s="20" t="s">
        <v>59</v>
      </c>
      <c r="V2441" s="21" t="s">
        <v>60</v>
      </c>
      <c r="W2441" s="22">
        <v>13</v>
      </c>
      <c r="X2441" s="23"/>
    </row>
    <row r="2442" spans="1:24" s="1" customFormat="1" ht="32.1" customHeight="1" x14ac:dyDescent="0.3">
      <c r="A2442" s="24" t="s">
        <v>23</v>
      </c>
      <c r="B2442" s="24" t="s">
        <v>2270</v>
      </c>
      <c r="C2442" s="27" t="s">
        <v>2717</v>
      </c>
      <c r="D2442" s="55"/>
      <c r="E2442" s="39" t="str">
        <f>HYPERLINK("https://www.google.ru/search?q=6009316-425&amp;newwindow=1&amp;tbm=isch","Еще фото")</f>
        <v>Еще фото</v>
      </c>
      <c r="F2442" s="13"/>
      <c r="G2442" s="24" t="s">
        <v>2198</v>
      </c>
      <c r="H2442" s="24" t="s">
        <v>27</v>
      </c>
      <c r="I2442" s="24" t="s">
        <v>2190</v>
      </c>
      <c r="J2442" s="14" t="s">
        <v>47</v>
      </c>
      <c r="K2442" s="15" t="s">
        <v>54</v>
      </c>
      <c r="L2442" s="58"/>
      <c r="M2442" s="14"/>
      <c r="N2442" s="14" t="s">
        <v>50</v>
      </c>
      <c r="O2442" s="14"/>
      <c r="P2442" s="15" t="s">
        <v>385</v>
      </c>
      <c r="Q2442" s="16">
        <v>6399</v>
      </c>
      <c r="R2442" s="17">
        <v>40</v>
      </c>
      <c r="S2442" s="18">
        <v>4415.3099999999995</v>
      </c>
      <c r="T2442" s="19" t="s">
        <v>36</v>
      </c>
      <c r="U2442" s="20" t="s">
        <v>130</v>
      </c>
      <c r="V2442" s="21" t="s">
        <v>131</v>
      </c>
      <c r="W2442" s="22">
        <v>7</v>
      </c>
      <c r="X2442" s="23"/>
    </row>
    <row r="2443" spans="1:24" s="1" customFormat="1" ht="108" customHeight="1" x14ac:dyDescent="0.3">
      <c r="A2443" s="11" t="s">
        <v>23</v>
      </c>
      <c r="B2443" s="11" t="s">
        <v>2718</v>
      </c>
      <c r="C2443" s="12" t="s">
        <v>2719</v>
      </c>
      <c r="D2443" s="25"/>
      <c r="E2443" s="39" t="str">
        <f>HYPERLINK("https://www.google.ru/search?q=6009347-001&amp;newwindow=1&amp;tbm=isch","Еще фото")</f>
        <v>Еще фото</v>
      </c>
      <c r="F2443" s="13" t="s">
        <v>98</v>
      </c>
      <c r="G2443" s="11" t="s">
        <v>2189</v>
      </c>
      <c r="H2443" s="11" t="s">
        <v>27</v>
      </c>
      <c r="I2443" s="14" t="s">
        <v>2190</v>
      </c>
      <c r="J2443" s="14" t="s">
        <v>47</v>
      </c>
      <c r="K2443" s="15" t="s">
        <v>30</v>
      </c>
      <c r="L2443" s="14" t="s">
        <v>2720</v>
      </c>
      <c r="M2443" s="14"/>
      <c r="N2443" s="14" t="s">
        <v>33</v>
      </c>
      <c r="O2443" s="14"/>
      <c r="P2443" s="15" t="s">
        <v>113</v>
      </c>
      <c r="Q2443" s="16">
        <v>4799</v>
      </c>
      <c r="R2443" s="17">
        <v>40</v>
      </c>
      <c r="S2443" s="18">
        <v>3311.31</v>
      </c>
      <c r="T2443" s="19" t="s">
        <v>36</v>
      </c>
      <c r="U2443" s="20" t="s">
        <v>104</v>
      </c>
      <c r="V2443" s="21" t="s">
        <v>105</v>
      </c>
      <c r="W2443" s="22">
        <v>1</v>
      </c>
      <c r="X2443" s="23"/>
    </row>
    <row r="2444" spans="1:24" s="1" customFormat="1" ht="35.1" customHeight="1" x14ac:dyDescent="0.3">
      <c r="A2444" s="11" t="s">
        <v>23</v>
      </c>
      <c r="B2444" s="11" t="s">
        <v>2718</v>
      </c>
      <c r="C2444" s="12" t="s">
        <v>2721</v>
      </c>
      <c r="D2444" s="53"/>
      <c r="E2444" s="39" t="str">
        <f>HYPERLINK("https://www.google.ru/search?q=6009347-299&amp;newwindow=1&amp;tbm=isch","Еще фото")</f>
        <v>Еще фото</v>
      </c>
      <c r="F2444" s="13" t="s">
        <v>98</v>
      </c>
      <c r="G2444" s="11" t="s">
        <v>2189</v>
      </c>
      <c r="H2444" s="11" t="s">
        <v>27</v>
      </c>
      <c r="I2444" s="14" t="s">
        <v>2190</v>
      </c>
      <c r="J2444" s="14" t="s">
        <v>47</v>
      </c>
      <c r="K2444" s="15" t="s">
        <v>30</v>
      </c>
      <c r="L2444" s="56" t="s">
        <v>2720</v>
      </c>
      <c r="M2444" s="14"/>
      <c r="N2444" s="14" t="s">
        <v>215</v>
      </c>
      <c r="O2444" s="14"/>
      <c r="P2444" s="15" t="s">
        <v>113</v>
      </c>
      <c r="Q2444" s="16">
        <v>4799</v>
      </c>
      <c r="R2444" s="17">
        <v>40</v>
      </c>
      <c r="S2444" s="18">
        <v>3311.31</v>
      </c>
      <c r="T2444" s="19" t="s">
        <v>36</v>
      </c>
      <c r="U2444" s="20" t="s">
        <v>39</v>
      </c>
      <c r="V2444" s="21" t="s">
        <v>40</v>
      </c>
      <c r="W2444" s="22">
        <v>2</v>
      </c>
      <c r="X2444" s="23"/>
    </row>
    <row r="2445" spans="1:24" s="1" customFormat="1" ht="35.1" customHeight="1" x14ac:dyDescent="0.3">
      <c r="A2445" s="24" t="s">
        <v>23</v>
      </c>
      <c r="B2445" s="24" t="s">
        <v>2718</v>
      </c>
      <c r="C2445" s="12" t="s">
        <v>2721</v>
      </c>
      <c r="D2445" s="54"/>
      <c r="E2445" s="39" t="str">
        <f>HYPERLINK("https://www.google.ru/search?q=6009347-299&amp;newwindow=1&amp;tbm=isch","Еще фото")</f>
        <v>Еще фото</v>
      </c>
      <c r="F2445" s="13" t="s">
        <v>98</v>
      </c>
      <c r="G2445" s="24" t="s">
        <v>2189</v>
      </c>
      <c r="H2445" s="24" t="s">
        <v>27</v>
      </c>
      <c r="I2445" s="24" t="s">
        <v>2190</v>
      </c>
      <c r="J2445" s="14" t="s">
        <v>47</v>
      </c>
      <c r="K2445" s="15" t="s">
        <v>30</v>
      </c>
      <c r="L2445" s="57"/>
      <c r="M2445" s="14"/>
      <c r="N2445" s="14" t="s">
        <v>215</v>
      </c>
      <c r="O2445" s="14"/>
      <c r="P2445" s="15" t="s">
        <v>113</v>
      </c>
      <c r="Q2445" s="16">
        <v>4799</v>
      </c>
      <c r="R2445" s="17">
        <v>40</v>
      </c>
      <c r="S2445" s="18">
        <v>3311.31</v>
      </c>
      <c r="T2445" s="19" t="s">
        <v>36</v>
      </c>
      <c r="U2445" s="20" t="s">
        <v>41</v>
      </c>
      <c r="V2445" s="21" t="s">
        <v>42</v>
      </c>
      <c r="W2445" s="22">
        <v>1</v>
      </c>
      <c r="X2445" s="23"/>
    </row>
    <row r="2446" spans="1:24" s="1" customFormat="1" ht="36.950000000000003" customHeight="1" x14ac:dyDescent="0.3">
      <c r="A2446" s="24" t="s">
        <v>23</v>
      </c>
      <c r="B2446" s="24" t="s">
        <v>2718</v>
      </c>
      <c r="C2446" s="12" t="s">
        <v>2721</v>
      </c>
      <c r="D2446" s="55"/>
      <c r="E2446" s="39" t="str">
        <f>HYPERLINK("https://www.google.ru/search?q=6009347-299&amp;newwindow=1&amp;tbm=isch","Еще фото")</f>
        <v>Еще фото</v>
      </c>
      <c r="F2446" s="13" t="s">
        <v>98</v>
      </c>
      <c r="G2446" s="24" t="s">
        <v>2189</v>
      </c>
      <c r="H2446" s="24" t="s">
        <v>27</v>
      </c>
      <c r="I2446" s="24" t="s">
        <v>2190</v>
      </c>
      <c r="J2446" s="14" t="s">
        <v>47</v>
      </c>
      <c r="K2446" s="15" t="s">
        <v>30</v>
      </c>
      <c r="L2446" s="58"/>
      <c r="M2446" s="14"/>
      <c r="N2446" s="14" t="s">
        <v>215</v>
      </c>
      <c r="O2446" s="14"/>
      <c r="P2446" s="15" t="s">
        <v>113</v>
      </c>
      <c r="Q2446" s="16">
        <v>4799</v>
      </c>
      <c r="R2446" s="17">
        <v>40</v>
      </c>
      <c r="S2446" s="18">
        <v>3311.31</v>
      </c>
      <c r="T2446" s="19" t="s">
        <v>36</v>
      </c>
      <c r="U2446" s="20" t="s">
        <v>104</v>
      </c>
      <c r="V2446" s="21" t="s">
        <v>105</v>
      </c>
      <c r="W2446" s="22">
        <v>1</v>
      </c>
      <c r="X2446" s="23"/>
    </row>
    <row r="2447" spans="1:24" s="1" customFormat="1" ht="51.95" customHeight="1" x14ac:dyDescent="0.3">
      <c r="A2447" s="11" t="s">
        <v>23</v>
      </c>
      <c r="B2447" s="11" t="s">
        <v>2722</v>
      </c>
      <c r="C2447" s="12" t="s">
        <v>2723</v>
      </c>
      <c r="D2447" s="59"/>
      <c r="E2447" s="39" t="str">
        <f>HYPERLINK("https://www.google.ru/search?q=6009353-410&amp;newwindow=1&amp;tbm=isch","Еще фото")</f>
        <v>Еще фото</v>
      </c>
      <c r="F2447" s="13" t="s">
        <v>98</v>
      </c>
      <c r="G2447" s="11" t="s">
        <v>2198</v>
      </c>
      <c r="H2447" s="11" t="s">
        <v>27</v>
      </c>
      <c r="I2447" s="14" t="s">
        <v>2190</v>
      </c>
      <c r="J2447" s="14" t="s">
        <v>47</v>
      </c>
      <c r="K2447" s="15" t="s">
        <v>30</v>
      </c>
      <c r="L2447" s="56" t="s">
        <v>2724</v>
      </c>
      <c r="M2447" s="14"/>
      <c r="N2447" s="14" t="s">
        <v>91</v>
      </c>
      <c r="O2447" s="14"/>
      <c r="P2447" s="15" t="s">
        <v>113</v>
      </c>
      <c r="Q2447" s="16">
        <v>8499</v>
      </c>
      <c r="R2447" s="17">
        <v>40</v>
      </c>
      <c r="S2447" s="18">
        <v>5864.3099999999995</v>
      </c>
      <c r="T2447" s="19" t="s">
        <v>36</v>
      </c>
      <c r="U2447" s="20" t="s">
        <v>41</v>
      </c>
      <c r="V2447" s="21" t="s">
        <v>42</v>
      </c>
      <c r="W2447" s="22">
        <v>9</v>
      </c>
      <c r="X2447" s="23"/>
    </row>
    <row r="2448" spans="1:24" s="1" customFormat="1" ht="60.95" customHeight="1" x14ac:dyDescent="0.3">
      <c r="A2448" s="24" t="s">
        <v>23</v>
      </c>
      <c r="B2448" s="24" t="s">
        <v>2722</v>
      </c>
      <c r="C2448" s="12" t="s">
        <v>2723</v>
      </c>
      <c r="D2448" s="60"/>
      <c r="E2448" s="39" t="str">
        <f>HYPERLINK("https://www.google.ru/search?q=6009353-410&amp;newwindow=1&amp;tbm=isch","Еще фото")</f>
        <v>Еще фото</v>
      </c>
      <c r="F2448" s="13" t="s">
        <v>98</v>
      </c>
      <c r="G2448" s="24" t="s">
        <v>2198</v>
      </c>
      <c r="H2448" s="24" t="s">
        <v>27</v>
      </c>
      <c r="I2448" s="24" t="s">
        <v>2190</v>
      </c>
      <c r="J2448" s="14" t="s">
        <v>47</v>
      </c>
      <c r="K2448" s="15" t="s">
        <v>30</v>
      </c>
      <c r="L2448" s="58"/>
      <c r="M2448" s="14"/>
      <c r="N2448" s="14" t="s">
        <v>91</v>
      </c>
      <c r="O2448" s="14"/>
      <c r="P2448" s="15" t="s">
        <v>113</v>
      </c>
      <c r="Q2448" s="16">
        <v>8499</v>
      </c>
      <c r="R2448" s="17">
        <v>40</v>
      </c>
      <c r="S2448" s="18">
        <v>5864.3099999999995</v>
      </c>
      <c r="T2448" s="19" t="s">
        <v>36</v>
      </c>
      <c r="U2448" s="20" t="s">
        <v>43</v>
      </c>
      <c r="V2448" s="21" t="s">
        <v>44</v>
      </c>
      <c r="W2448" s="22">
        <v>2</v>
      </c>
      <c r="X2448" s="23"/>
    </row>
    <row r="2449" spans="1:24" s="1" customFormat="1" ht="21" customHeight="1" x14ac:dyDescent="0.3">
      <c r="A2449" s="11" t="s">
        <v>23</v>
      </c>
      <c r="B2449" s="11" t="s">
        <v>2725</v>
      </c>
      <c r="C2449" s="26" t="s">
        <v>2726</v>
      </c>
      <c r="D2449" s="53"/>
      <c r="E2449" s="39" t="str">
        <f>HYPERLINK("https://www.google.ru/search?q=6009365-001&amp;newwindow=1&amp;tbm=isch","Еще фото")</f>
        <v>Еще фото</v>
      </c>
      <c r="F2449" s="13" t="s">
        <v>98</v>
      </c>
      <c r="G2449" s="11" t="s">
        <v>2202</v>
      </c>
      <c r="H2449" s="11" t="s">
        <v>27</v>
      </c>
      <c r="I2449" s="14" t="s">
        <v>2190</v>
      </c>
      <c r="J2449" s="14" t="s">
        <v>47</v>
      </c>
      <c r="K2449" s="15" t="s">
        <v>30</v>
      </c>
      <c r="L2449" s="56"/>
      <c r="M2449" s="14"/>
      <c r="N2449" s="14" t="s">
        <v>33</v>
      </c>
      <c r="O2449" s="14"/>
      <c r="P2449" s="15" t="s">
        <v>2401</v>
      </c>
      <c r="Q2449" s="16">
        <v>14999</v>
      </c>
      <c r="R2449" s="17">
        <v>40</v>
      </c>
      <c r="S2449" s="18">
        <v>10349.31</v>
      </c>
      <c r="T2449" s="19" t="s">
        <v>36</v>
      </c>
      <c r="U2449" s="20" t="s">
        <v>37</v>
      </c>
      <c r="V2449" s="21" t="s">
        <v>38</v>
      </c>
      <c r="W2449" s="22">
        <v>12</v>
      </c>
      <c r="X2449" s="23"/>
    </row>
    <row r="2450" spans="1:24" s="1" customFormat="1" ht="21" customHeight="1" x14ac:dyDescent="0.3">
      <c r="A2450" s="24" t="s">
        <v>23</v>
      </c>
      <c r="B2450" s="24" t="s">
        <v>2725</v>
      </c>
      <c r="C2450" s="27" t="s">
        <v>2726</v>
      </c>
      <c r="D2450" s="54"/>
      <c r="E2450" s="39" t="str">
        <f>HYPERLINK("https://www.google.ru/search?q=6009365-001&amp;newwindow=1&amp;tbm=isch","Еще фото")</f>
        <v>Еще фото</v>
      </c>
      <c r="F2450" s="13" t="s">
        <v>98</v>
      </c>
      <c r="G2450" s="24" t="s">
        <v>2202</v>
      </c>
      <c r="H2450" s="24" t="s">
        <v>27</v>
      </c>
      <c r="I2450" s="24" t="s">
        <v>2190</v>
      </c>
      <c r="J2450" s="14" t="s">
        <v>47</v>
      </c>
      <c r="K2450" s="15" t="s">
        <v>30</v>
      </c>
      <c r="L2450" s="57"/>
      <c r="M2450" s="14"/>
      <c r="N2450" s="14" t="s">
        <v>33</v>
      </c>
      <c r="O2450" s="14"/>
      <c r="P2450" s="15" t="s">
        <v>2401</v>
      </c>
      <c r="Q2450" s="16">
        <v>14999</v>
      </c>
      <c r="R2450" s="17">
        <v>40</v>
      </c>
      <c r="S2450" s="18">
        <v>10349.31</v>
      </c>
      <c r="T2450" s="19" t="s">
        <v>36</v>
      </c>
      <c r="U2450" s="20" t="s">
        <v>39</v>
      </c>
      <c r="V2450" s="21" t="s">
        <v>40</v>
      </c>
      <c r="W2450" s="22">
        <v>18</v>
      </c>
      <c r="X2450" s="23"/>
    </row>
    <row r="2451" spans="1:24" s="1" customFormat="1" ht="21" customHeight="1" x14ac:dyDescent="0.3">
      <c r="A2451" s="24" t="s">
        <v>23</v>
      </c>
      <c r="B2451" s="24" t="s">
        <v>2725</v>
      </c>
      <c r="C2451" s="27" t="s">
        <v>2726</v>
      </c>
      <c r="D2451" s="54"/>
      <c r="E2451" s="39" t="str">
        <f>HYPERLINK("https://www.google.ru/search?q=6009365-001&amp;newwindow=1&amp;tbm=isch","Еще фото")</f>
        <v>Еще фото</v>
      </c>
      <c r="F2451" s="13" t="s">
        <v>98</v>
      </c>
      <c r="G2451" s="24" t="s">
        <v>2202</v>
      </c>
      <c r="H2451" s="24" t="s">
        <v>27</v>
      </c>
      <c r="I2451" s="24" t="s">
        <v>2190</v>
      </c>
      <c r="J2451" s="14" t="s">
        <v>47</v>
      </c>
      <c r="K2451" s="15" t="s">
        <v>30</v>
      </c>
      <c r="L2451" s="57"/>
      <c r="M2451" s="14"/>
      <c r="N2451" s="14" t="s">
        <v>33</v>
      </c>
      <c r="O2451" s="14"/>
      <c r="P2451" s="15" t="s">
        <v>2401</v>
      </c>
      <c r="Q2451" s="16">
        <v>14999</v>
      </c>
      <c r="R2451" s="17">
        <v>40</v>
      </c>
      <c r="S2451" s="18">
        <v>10349.31</v>
      </c>
      <c r="T2451" s="19" t="s">
        <v>36</v>
      </c>
      <c r="U2451" s="20" t="s">
        <v>41</v>
      </c>
      <c r="V2451" s="21" t="s">
        <v>42</v>
      </c>
      <c r="W2451" s="22">
        <v>18</v>
      </c>
      <c r="X2451" s="23"/>
    </row>
    <row r="2452" spans="1:24" s="1" customFormat="1" ht="21" customHeight="1" x14ac:dyDescent="0.3">
      <c r="A2452" s="24" t="s">
        <v>23</v>
      </c>
      <c r="B2452" s="24" t="s">
        <v>2725</v>
      </c>
      <c r="C2452" s="27" t="s">
        <v>2726</v>
      </c>
      <c r="D2452" s="54"/>
      <c r="E2452" s="39" t="str">
        <f>HYPERLINK("https://www.google.ru/search?q=6009365-001&amp;newwindow=1&amp;tbm=isch","Еще фото")</f>
        <v>Еще фото</v>
      </c>
      <c r="F2452" s="13" t="s">
        <v>98</v>
      </c>
      <c r="G2452" s="24" t="s">
        <v>2202</v>
      </c>
      <c r="H2452" s="24" t="s">
        <v>27</v>
      </c>
      <c r="I2452" s="24" t="s">
        <v>2190</v>
      </c>
      <c r="J2452" s="14" t="s">
        <v>47</v>
      </c>
      <c r="K2452" s="15" t="s">
        <v>30</v>
      </c>
      <c r="L2452" s="57"/>
      <c r="M2452" s="14"/>
      <c r="N2452" s="14" t="s">
        <v>33</v>
      </c>
      <c r="O2452" s="14"/>
      <c r="P2452" s="15" t="s">
        <v>2401</v>
      </c>
      <c r="Q2452" s="16">
        <v>14999</v>
      </c>
      <c r="R2452" s="17">
        <v>40</v>
      </c>
      <c r="S2452" s="18">
        <v>10349.31</v>
      </c>
      <c r="T2452" s="19" t="s">
        <v>36</v>
      </c>
      <c r="U2452" s="20" t="s">
        <v>43</v>
      </c>
      <c r="V2452" s="21" t="s">
        <v>44</v>
      </c>
      <c r="W2452" s="22">
        <v>3</v>
      </c>
      <c r="X2452" s="23"/>
    </row>
    <row r="2453" spans="1:24" s="1" customFormat="1" ht="32.1" customHeight="1" x14ac:dyDescent="0.3">
      <c r="A2453" s="24" t="s">
        <v>23</v>
      </c>
      <c r="B2453" s="24" t="s">
        <v>2725</v>
      </c>
      <c r="C2453" s="27" t="s">
        <v>2726</v>
      </c>
      <c r="D2453" s="55"/>
      <c r="E2453" s="39" t="str">
        <f>HYPERLINK("https://www.google.ru/search?q=6009365-001&amp;newwindow=1&amp;tbm=isch","Еще фото")</f>
        <v>Еще фото</v>
      </c>
      <c r="F2453" s="13" t="s">
        <v>98</v>
      </c>
      <c r="G2453" s="24" t="s">
        <v>2202</v>
      </c>
      <c r="H2453" s="24" t="s">
        <v>27</v>
      </c>
      <c r="I2453" s="24" t="s">
        <v>2190</v>
      </c>
      <c r="J2453" s="14" t="s">
        <v>47</v>
      </c>
      <c r="K2453" s="15" t="s">
        <v>30</v>
      </c>
      <c r="L2453" s="58"/>
      <c r="M2453" s="14"/>
      <c r="N2453" s="14" t="s">
        <v>33</v>
      </c>
      <c r="O2453" s="14"/>
      <c r="P2453" s="15" t="s">
        <v>2401</v>
      </c>
      <c r="Q2453" s="16">
        <v>14999</v>
      </c>
      <c r="R2453" s="17">
        <v>40</v>
      </c>
      <c r="S2453" s="18">
        <v>10349.31</v>
      </c>
      <c r="T2453" s="19" t="s">
        <v>36</v>
      </c>
      <c r="U2453" s="20" t="s">
        <v>104</v>
      </c>
      <c r="V2453" s="21" t="s">
        <v>105</v>
      </c>
      <c r="W2453" s="22">
        <v>1</v>
      </c>
      <c r="X2453" s="23"/>
    </row>
    <row r="2454" spans="1:24" s="1" customFormat="1" ht="51.95" customHeight="1" x14ac:dyDescent="0.3">
      <c r="A2454" s="11" t="s">
        <v>23</v>
      </c>
      <c r="B2454" s="11" t="s">
        <v>2727</v>
      </c>
      <c r="C2454" s="12" t="s">
        <v>2728</v>
      </c>
      <c r="D2454" s="59"/>
      <c r="E2454" s="39" t="str">
        <f>HYPERLINK("https://www.google.ru/search?q=6009436-001&amp;newwindow=1&amp;tbm=isch","Еще фото")</f>
        <v>Еще фото</v>
      </c>
      <c r="F2454" s="13"/>
      <c r="G2454" s="11" t="s">
        <v>2342</v>
      </c>
      <c r="H2454" s="11" t="s">
        <v>27</v>
      </c>
      <c r="I2454" s="14" t="s">
        <v>2190</v>
      </c>
      <c r="J2454" s="14" t="s">
        <v>47</v>
      </c>
      <c r="K2454" s="15" t="s">
        <v>30</v>
      </c>
      <c r="L2454" s="56" t="s">
        <v>2729</v>
      </c>
      <c r="M2454" s="14"/>
      <c r="N2454" s="14" t="s">
        <v>1519</v>
      </c>
      <c r="O2454" s="14"/>
      <c r="P2454" s="15" t="s">
        <v>540</v>
      </c>
      <c r="Q2454" s="16">
        <v>13199</v>
      </c>
      <c r="R2454" s="17">
        <v>40</v>
      </c>
      <c r="S2454" s="18">
        <v>9107.31</v>
      </c>
      <c r="T2454" s="19" t="s">
        <v>36</v>
      </c>
      <c r="U2454" s="20" t="s">
        <v>39</v>
      </c>
      <c r="V2454" s="21" t="s">
        <v>40</v>
      </c>
      <c r="W2454" s="22">
        <v>1</v>
      </c>
      <c r="X2454" s="23"/>
    </row>
    <row r="2455" spans="1:24" s="1" customFormat="1" ht="60.95" customHeight="1" x14ac:dyDescent="0.3">
      <c r="A2455" s="24" t="s">
        <v>23</v>
      </c>
      <c r="B2455" s="24" t="s">
        <v>2727</v>
      </c>
      <c r="C2455" s="12" t="s">
        <v>2728</v>
      </c>
      <c r="D2455" s="60"/>
      <c r="E2455" s="39" t="str">
        <f>HYPERLINK("https://www.google.ru/search?q=6009436-001&amp;newwindow=1&amp;tbm=isch","Еще фото")</f>
        <v>Еще фото</v>
      </c>
      <c r="F2455" s="13"/>
      <c r="G2455" s="24" t="s">
        <v>2342</v>
      </c>
      <c r="H2455" s="24" t="s">
        <v>27</v>
      </c>
      <c r="I2455" s="24" t="s">
        <v>2190</v>
      </c>
      <c r="J2455" s="14" t="s">
        <v>47</v>
      </c>
      <c r="K2455" s="15" t="s">
        <v>30</v>
      </c>
      <c r="L2455" s="58"/>
      <c r="M2455" s="14"/>
      <c r="N2455" s="14" t="s">
        <v>1519</v>
      </c>
      <c r="O2455" s="14"/>
      <c r="P2455" s="15" t="s">
        <v>540</v>
      </c>
      <c r="Q2455" s="16">
        <v>13199</v>
      </c>
      <c r="R2455" s="17">
        <v>40</v>
      </c>
      <c r="S2455" s="18">
        <v>9107.31</v>
      </c>
      <c r="T2455" s="19" t="s">
        <v>36</v>
      </c>
      <c r="U2455" s="20" t="s">
        <v>41</v>
      </c>
      <c r="V2455" s="21" t="s">
        <v>42</v>
      </c>
      <c r="W2455" s="22">
        <v>1</v>
      </c>
      <c r="X2455" s="23"/>
    </row>
    <row r="2456" spans="1:24" s="1" customFormat="1" ht="51.95" customHeight="1" x14ac:dyDescent="0.3">
      <c r="A2456" s="11" t="s">
        <v>23</v>
      </c>
      <c r="B2456" s="11" t="s">
        <v>2730</v>
      </c>
      <c r="C2456" s="12" t="s">
        <v>2731</v>
      </c>
      <c r="D2456" s="59"/>
      <c r="E2456" s="39" t="str">
        <f>HYPERLINK("https://www.google.ru/search?q=6009679-001&amp;newwindow=1&amp;tbm=isch","Еще фото")</f>
        <v>Еще фото</v>
      </c>
      <c r="F2456" s="13" t="s">
        <v>98</v>
      </c>
      <c r="G2456" s="11" t="s">
        <v>643</v>
      </c>
      <c r="H2456" s="11" t="s">
        <v>27</v>
      </c>
      <c r="I2456" s="14" t="s">
        <v>2190</v>
      </c>
      <c r="J2456" s="14" t="s">
        <v>47</v>
      </c>
      <c r="K2456" s="15" t="s">
        <v>64</v>
      </c>
      <c r="L2456" s="56" t="s">
        <v>2732</v>
      </c>
      <c r="M2456" s="14"/>
      <c r="N2456" s="14" t="s">
        <v>33</v>
      </c>
      <c r="O2456" s="14"/>
      <c r="P2456" s="15" t="s">
        <v>492</v>
      </c>
      <c r="Q2456" s="16">
        <v>7899</v>
      </c>
      <c r="R2456" s="17">
        <v>40</v>
      </c>
      <c r="S2456" s="18">
        <v>5450.3099999999995</v>
      </c>
      <c r="T2456" s="19" t="s">
        <v>36</v>
      </c>
      <c r="U2456" s="20" t="s">
        <v>37</v>
      </c>
      <c r="V2456" s="21" t="s">
        <v>86</v>
      </c>
      <c r="W2456" s="22">
        <v>4</v>
      </c>
      <c r="X2456" s="23"/>
    </row>
    <row r="2457" spans="1:24" s="1" customFormat="1" ht="60.95" customHeight="1" x14ac:dyDescent="0.3">
      <c r="A2457" s="24" t="s">
        <v>23</v>
      </c>
      <c r="B2457" s="24" t="s">
        <v>2730</v>
      </c>
      <c r="C2457" s="12" t="s">
        <v>2731</v>
      </c>
      <c r="D2457" s="60"/>
      <c r="E2457" s="39" t="str">
        <f>HYPERLINK("https://www.google.ru/search?q=6009679-001&amp;newwindow=1&amp;tbm=isch","Еще фото")</f>
        <v>Еще фото</v>
      </c>
      <c r="F2457" s="13" t="s">
        <v>98</v>
      </c>
      <c r="G2457" s="24" t="s">
        <v>643</v>
      </c>
      <c r="H2457" s="24" t="s">
        <v>27</v>
      </c>
      <c r="I2457" s="24" t="s">
        <v>2190</v>
      </c>
      <c r="J2457" s="14" t="s">
        <v>47</v>
      </c>
      <c r="K2457" s="15" t="s">
        <v>64</v>
      </c>
      <c r="L2457" s="58"/>
      <c r="M2457" s="14"/>
      <c r="N2457" s="14" t="s">
        <v>33</v>
      </c>
      <c r="O2457" s="14"/>
      <c r="P2457" s="15" t="s">
        <v>492</v>
      </c>
      <c r="Q2457" s="16">
        <v>7899</v>
      </c>
      <c r="R2457" s="17">
        <v>40</v>
      </c>
      <c r="S2457" s="18">
        <v>5450.3099999999995</v>
      </c>
      <c r="T2457" s="19" t="s">
        <v>36</v>
      </c>
      <c r="U2457" s="20" t="s">
        <v>41</v>
      </c>
      <c r="V2457" s="21" t="s">
        <v>40</v>
      </c>
      <c r="W2457" s="22">
        <v>1</v>
      </c>
      <c r="X2457" s="23"/>
    </row>
    <row r="2458" spans="1:24" s="1" customFormat="1" ht="26.1" customHeight="1" x14ac:dyDescent="0.3">
      <c r="A2458" s="11" t="s">
        <v>23</v>
      </c>
      <c r="B2458" s="11" t="s">
        <v>2730</v>
      </c>
      <c r="C2458" s="12" t="s">
        <v>2733</v>
      </c>
      <c r="D2458" s="53"/>
      <c r="E2458" s="39" t="str">
        <f>HYPERLINK("https://www.google.ru/search?q=6009679-100&amp;newwindow=1&amp;tbm=isch","Еще фото")</f>
        <v>Еще фото</v>
      </c>
      <c r="F2458" s="13" t="s">
        <v>98</v>
      </c>
      <c r="G2458" s="11" t="s">
        <v>643</v>
      </c>
      <c r="H2458" s="11" t="s">
        <v>27</v>
      </c>
      <c r="I2458" s="14" t="s">
        <v>2190</v>
      </c>
      <c r="J2458" s="14" t="s">
        <v>47</v>
      </c>
      <c r="K2458" s="15" t="s">
        <v>64</v>
      </c>
      <c r="L2458" s="56"/>
      <c r="M2458" s="14"/>
      <c r="N2458" s="14" t="s">
        <v>74</v>
      </c>
      <c r="O2458" s="14"/>
      <c r="P2458" s="15" t="s">
        <v>750</v>
      </c>
      <c r="Q2458" s="16">
        <v>7899</v>
      </c>
      <c r="R2458" s="17">
        <v>40</v>
      </c>
      <c r="S2458" s="18">
        <v>5450.3099999999995</v>
      </c>
      <c r="T2458" s="19" t="s">
        <v>36</v>
      </c>
      <c r="U2458" s="20" t="s">
        <v>69</v>
      </c>
      <c r="V2458" s="21" t="s">
        <v>70</v>
      </c>
      <c r="W2458" s="22">
        <v>11</v>
      </c>
      <c r="X2458" s="23"/>
    </row>
    <row r="2459" spans="1:24" s="1" customFormat="1" ht="26.1" customHeight="1" x14ac:dyDescent="0.3">
      <c r="A2459" s="24" t="s">
        <v>23</v>
      </c>
      <c r="B2459" s="24" t="s">
        <v>2730</v>
      </c>
      <c r="C2459" s="12" t="s">
        <v>2733</v>
      </c>
      <c r="D2459" s="54"/>
      <c r="E2459" s="39" t="str">
        <f>HYPERLINK("https://www.google.ru/search?q=6009679-100&amp;newwindow=1&amp;tbm=isch","Еще фото")</f>
        <v>Еще фото</v>
      </c>
      <c r="F2459" s="13" t="s">
        <v>98</v>
      </c>
      <c r="G2459" s="24" t="s">
        <v>643</v>
      </c>
      <c r="H2459" s="24" t="s">
        <v>27</v>
      </c>
      <c r="I2459" s="24" t="s">
        <v>2190</v>
      </c>
      <c r="J2459" s="14" t="s">
        <v>47</v>
      </c>
      <c r="K2459" s="15" t="s">
        <v>64</v>
      </c>
      <c r="L2459" s="57"/>
      <c r="M2459" s="14"/>
      <c r="N2459" s="14" t="s">
        <v>74</v>
      </c>
      <c r="O2459" s="14"/>
      <c r="P2459" s="15" t="s">
        <v>750</v>
      </c>
      <c r="Q2459" s="16">
        <v>7899</v>
      </c>
      <c r="R2459" s="17">
        <v>40</v>
      </c>
      <c r="S2459" s="18">
        <v>5450.3099999999995</v>
      </c>
      <c r="T2459" s="19" t="s">
        <v>36</v>
      </c>
      <c r="U2459" s="20" t="s">
        <v>37</v>
      </c>
      <c r="V2459" s="21" t="s">
        <v>86</v>
      </c>
      <c r="W2459" s="22">
        <v>9</v>
      </c>
      <c r="X2459" s="23"/>
    </row>
    <row r="2460" spans="1:24" s="1" customFormat="1" ht="26.1" customHeight="1" x14ac:dyDescent="0.3">
      <c r="A2460" s="24" t="s">
        <v>23</v>
      </c>
      <c r="B2460" s="24" t="s">
        <v>2730</v>
      </c>
      <c r="C2460" s="12" t="s">
        <v>2733</v>
      </c>
      <c r="D2460" s="54"/>
      <c r="E2460" s="39" t="str">
        <f>HYPERLINK("https://www.google.ru/search?q=6009679-100&amp;newwindow=1&amp;tbm=isch","Еще фото")</f>
        <v>Еще фото</v>
      </c>
      <c r="F2460" s="13" t="s">
        <v>98</v>
      </c>
      <c r="G2460" s="24" t="s">
        <v>643</v>
      </c>
      <c r="H2460" s="24" t="s">
        <v>27</v>
      </c>
      <c r="I2460" s="24" t="s">
        <v>2190</v>
      </c>
      <c r="J2460" s="14" t="s">
        <v>47</v>
      </c>
      <c r="K2460" s="15" t="s">
        <v>64</v>
      </c>
      <c r="L2460" s="57"/>
      <c r="M2460" s="14"/>
      <c r="N2460" s="14" t="s">
        <v>74</v>
      </c>
      <c r="O2460" s="14"/>
      <c r="P2460" s="15" t="s">
        <v>750</v>
      </c>
      <c r="Q2460" s="16">
        <v>7899</v>
      </c>
      <c r="R2460" s="17">
        <v>40</v>
      </c>
      <c r="S2460" s="18">
        <v>5450.3099999999995</v>
      </c>
      <c r="T2460" s="19" t="s">
        <v>36</v>
      </c>
      <c r="U2460" s="20" t="s">
        <v>39</v>
      </c>
      <c r="V2460" s="21" t="s">
        <v>38</v>
      </c>
      <c r="W2460" s="22">
        <v>16</v>
      </c>
      <c r="X2460" s="23"/>
    </row>
    <row r="2461" spans="1:24" s="1" customFormat="1" ht="26.1" customHeight="1" x14ac:dyDescent="0.3">
      <c r="A2461" s="24" t="s">
        <v>23</v>
      </c>
      <c r="B2461" s="24" t="s">
        <v>2730</v>
      </c>
      <c r="C2461" s="12" t="s">
        <v>2733</v>
      </c>
      <c r="D2461" s="55"/>
      <c r="E2461" s="39" t="str">
        <f>HYPERLINK("https://www.google.ru/search?q=6009679-100&amp;newwindow=1&amp;tbm=isch","Еще фото")</f>
        <v>Еще фото</v>
      </c>
      <c r="F2461" s="13" t="s">
        <v>98</v>
      </c>
      <c r="G2461" s="24" t="s">
        <v>643</v>
      </c>
      <c r="H2461" s="24" t="s">
        <v>27</v>
      </c>
      <c r="I2461" s="24" t="s">
        <v>2190</v>
      </c>
      <c r="J2461" s="14" t="s">
        <v>47</v>
      </c>
      <c r="K2461" s="15" t="s">
        <v>64</v>
      </c>
      <c r="L2461" s="58"/>
      <c r="M2461" s="14"/>
      <c r="N2461" s="14" t="s">
        <v>74</v>
      </c>
      <c r="O2461" s="14"/>
      <c r="P2461" s="15" t="s">
        <v>750</v>
      </c>
      <c r="Q2461" s="16">
        <v>7899</v>
      </c>
      <c r="R2461" s="17">
        <v>40</v>
      </c>
      <c r="S2461" s="18">
        <v>5450.3099999999995</v>
      </c>
      <c r="T2461" s="19" t="s">
        <v>36</v>
      </c>
      <c r="U2461" s="20" t="s">
        <v>41</v>
      </c>
      <c r="V2461" s="21" t="s">
        <v>40</v>
      </c>
      <c r="W2461" s="22">
        <v>9</v>
      </c>
      <c r="X2461" s="23"/>
    </row>
    <row r="2462" spans="1:24" s="1" customFormat="1" ht="26.1" customHeight="1" x14ac:dyDescent="0.3">
      <c r="A2462" s="11" t="s">
        <v>23</v>
      </c>
      <c r="B2462" s="11" t="s">
        <v>2734</v>
      </c>
      <c r="C2462" s="12" t="s">
        <v>2735</v>
      </c>
      <c r="D2462" s="53"/>
      <c r="E2462" s="39" t="str">
        <f>HYPERLINK("https://www.google.ru/search?q=6009705-100&amp;newwindow=1&amp;tbm=isch","Еще фото")</f>
        <v>Еще фото</v>
      </c>
      <c r="F2462" s="13"/>
      <c r="G2462" s="11" t="s">
        <v>2198</v>
      </c>
      <c r="H2462" s="11" t="s">
        <v>27</v>
      </c>
      <c r="I2462" s="14" t="s">
        <v>2190</v>
      </c>
      <c r="J2462" s="14" t="s">
        <v>47</v>
      </c>
      <c r="K2462" s="15" t="s">
        <v>64</v>
      </c>
      <c r="L2462" s="56" t="s">
        <v>2736</v>
      </c>
      <c r="M2462" s="14"/>
      <c r="N2462" s="14" t="s">
        <v>74</v>
      </c>
      <c r="O2462" s="14"/>
      <c r="P2462" s="15" t="s">
        <v>555</v>
      </c>
      <c r="Q2462" s="16">
        <v>6699</v>
      </c>
      <c r="R2462" s="17">
        <v>40</v>
      </c>
      <c r="S2462" s="18">
        <v>4622.3099999999995</v>
      </c>
      <c r="T2462" s="19" t="s">
        <v>36</v>
      </c>
      <c r="U2462" s="20" t="s">
        <v>69</v>
      </c>
      <c r="V2462" s="21" t="s">
        <v>70</v>
      </c>
      <c r="W2462" s="22">
        <v>7</v>
      </c>
      <c r="X2462" s="23"/>
    </row>
    <row r="2463" spans="1:24" s="1" customFormat="1" ht="26.1" customHeight="1" x14ac:dyDescent="0.3">
      <c r="A2463" s="24" t="s">
        <v>23</v>
      </c>
      <c r="B2463" s="24" t="s">
        <v>2734</v>
      </c>
      <c r="C2463" s="12" t="s">
        <v>2735</v>
      </c>
      <c r="D2463" s="54"/>
      <c r="E2463" s="39" t="str">
        <f>HYPERLINK("https://www.google.ru/search?q=6009705-100&amp;newwindow=1&amp;tbm=isch","Еще фото")</f>
        <v>Еще фото</v>
      </c>
      <c r="F2463" s="13"/>
      <c r="G2463" s="24" t="s">
        <v>2198</v>
      </c>
      <c r="H2463" s="24" t="s">
        <v>27</v>
      </c>
      <c r="I2463" s="24" t="s">
        <v>2190</v>
      </c>
      <c r="J2463" s="14" t="s">
        <v>47</v>
      </c>
      <c r="K2463" s="15" t="s">
        <v>64</v>
      </c>
      <c r="L2463" s="57"/>
      <c r="M2463" s="14"/>
      <c r="N2463" s="14" t="s">
        <v>74</v>
      </c>
      <c r="O2463" s="14"/>
      <c r="P2463" s="15" t="s">
        <v>555</v>
      </c>
      <c r="Q2463" s="16">
        <v>6699</v>
      </c>
      <c r="R2463" s="17">
        <v>40</v>
      </c>
      <c r="S2463" s="18">
        <v>4622.3099999999995</v>
      </c>
      <c r="T2463" s="19" t="s">
        <v>36</v>
      </c>
      <c r="U2463" s="20" t="s">
        <v>37</v>
      </c>
      <c r="V2463" s="21" t="s">
        <v>86</v>
      </c>
      <c r="W2463" s="22">
        <v>16</v>
      </c>
      <c r="X2463" s="23"/>
    </row>
    <row r="2464" spans="1:24" s="1" customFormat="1" ht="26.1" customHeight="1" x14ac:dyDescent="0.3">
      <c r="A2464" s="24" t="s">
        <v>23</v>
      </c>
      <c r="B2464" s="24" t="s">
        <v>2734</v>
      </c>
      <c r="C2464" s="12" t="s">
        <v>2735</v>
      </c>
      <c r="D2464" s="54"/>
      <c r="E2464" s="39" t="str">
        <f>HYPERLINK("https://www.google.ru/search?q=6009705-100&amp;newwindow=1&amp;tbm=isch","Еще фото")</f>
        <v>Еще фото</v>
      </c>
      <c r="F2464" s="13"/>
      <c r="G2464" s="24" t="s">
        <v>2198</v>
      </c>
      <c r="H2464" s="24" t="s">
        <v>27</v>
      </c>
      <c r="I2464" s="24" t="s">
        <v>2190</v>
      </c>
      <c r="J2464" s="14" t="s">
        <v>47</v>
      </c>
      <c r="K2464" s="15" t="s">
        <v>64</v>
      </c>
      <c r="L2464" s="57"/>
      <c r="M2464" s="14"/>
      <c r="N2464" s="14" t="s">
        <v>74</v>
      </c>
      <c r="O2464" s="14"/>
      <c r="P2464" s="15" t="s">
        <v>555</v>
      </c>
      <c r="Q2464" s="16">
        <v>6699</v>
      </c>
      <c r="R2464" s="17">
        <v>40</v>
      </c>
      <c r="S2464" s="18">
        <v>4622.3099999999995</v>
      </c>
      <c r="T2464" s="19" t="s">
        <v>36</v>
      </c>
      <c r="U2464" s="20" t="s">
        <v>39</v>
      </c>
      <c r="V2464" s="21" t="s">
        <v>38</v>
      </c>
      <c r="W2464" s="22">
        <v>17</v>
      </c>
      <c r="X2464" s="23"/>
    </row>
    <row r="2465" spans="1:24" s="1" customFormat="1" ht="26.1" customHeight="1" x14ac:dyDescent="0.3">
      <c r="A2465" s="24" t="s">
        <v>23</v>
      </c>
      <c r="B2465" s="24" t="s">
        <v>2734</v>
      </c>
      <c r="C2465" s="12" t="s">
        <v>2735</v>
      </c>
      <c r="D2465" s="55"/>
      <c r="E2465" s="39" t="str">
        <f>HYPERLINK("https://www.google.ru/search?q=6009705-100&amp;newwindow=1&amp;tbm=isch","Еще фото")</f>
        <v>Еще фото</v>
      </c>
      <c r="F2465" s="13"/>
      <c r="G2465" s="24" t="s">
        <v>2198</v>
      </c>
      <c r="H2465" s="24" t="s">
        <v>27</v>
      </c>
      <c r="I2465" s="24" t="s">
        <v>2190</v>
      </c>
      <c r="J2465" s="14" t="s">
        <v>47</v>
      </c>
      <c r="K2465" s="15" t="s">
        <v>64</v>
      </c>
      <c r="L2465" s="58"/>
      <c r="M2465" s="14"/>
      <c r="N2465" s="14" t="s">
        <v>74</v>
      </c>
      <c r="O2465" s="14"/>
      <c r="P2465" s="15" t="s">
        <v>555</v>
      </c>
      <c r="Q2465" s="16">
        <v>6699</v>
      </c>
      <c r="R2465" s="17">
        <v>40</v>
      </c>
      <c r="S2465" s="18">
        <v>4622.3099999999995</v>
      </c>
      <c r="T2465" s="19" t="s">
        <v>36</v>
      </c>
      <c r="U2465" s="20" t="s">
        <v>41</v>
      </c>
      <c r="V2465" s="21" t="s">
        <v>40</v>
      </c>
      <c r="W2465" s="22">
        <v>17</v>
      </c>
      <c r="X2465" s="23"/>
    </row>
    <row r="2466" spans="1:24" s="1" customFormat="1" ht="26.1" customHeight="1" x14ac:dyDescent="0.3">
      <c r="A2466" s="11" t="s">
        <v>23</v>
      </c>
      <c r="B2466" s="11" t="s">
        <v>2734</v>
      </c>
      <c r="C2466" s="12" t="s">
        <v>2737</v>
      </c>
      <c r="D2466" s="53"/>
      <c r="E2466" s="39" t="str">
        <f>HYPERLINK("https://www.google.ru/search?q=6009705-338&amp;newwindow=1&amp;tbm=isch","Еще фото")</f>
        <v>Еще фото</v>
      </c>
      <c r="F2466" s="13"/>
      <c r="G2466" s="11" t="s">
        <v>2198</v>
      </c>
      <c r="H2466" s="11" t="s">
        <v>27</v>
      </c>
      <c r="I2466" s="14" t="s">
        <v>2190</v>
      </c>
      <c r="J2466" s="14" t="s">
        <v>47</v>
      </c>
      <c r="K2466" s="15" t="s">
        <v>64</v>
      </c>
      <c r="L2466" s="56" t="s">
        <v>2736</v>
      </c>
      <c r="M2466" s="14"/>
      <c r="N2466" s="14" t="s">
        <v>125</v>
      </c>
      <c r="O2466" s="14"/>
      <c r="P2466" s="15" t="s">
        <v>555</v>
      </c>
      <c r="Q2466" s="16">
        <v>6699</v>
      </c>
      <c r="R2466" s="17">
        <v>40</v>
      </c>
      <c r="S2466" s="18">
        <v>4622.3099999999995</v>
      </c>
      <c r="T2466" s="19" t="s">
        <v>36</v>
      </c>
      <c r="U2466" s="20" t="s">
        <v>69</v>
      </c>
      <c r="V2466" s="21" t="s">
        <v>70</v>
      </c>
      <c r="W2466" s="22">
        <v>3</v>
      </c>
      <c r="X2466" s="23"/>
    </row>
    <row r="2467" spans="1:24" s="1" customFormat="1" ht="26.1" customHeight="1" x14ac:dyDescent="0.3">
      <c r="A2467" s="24" t="s">
        <v>23</v>
      </c>
      <c r="B2467" s="24" t="s">
        <v>2734</v>
      </c>
      <c r="C2467" s="12" t="s">
        <v>2737</v>
      </c>
      <c r="D2467" s="54"/>
      <c r="E2467" s="39" t="str">
        <f>HYPERLINK("https://www.google.ru/search?q=6009705-338&amp;newwindow=1&amp;tbm=isch","Еще фото")</f>
        <v>Еще фото</v>
      </c>
      <c r="F2467" s="13"/>
      <c r="G2467" s="24" t="s">
        <v>2198</v>
      </c>
      <c r="H2467" s="24" t="s">
        <v>27</v>
      </c>
      <c r="I2467" s="24" t="s">
        <v>2190</v>
      </c>
      <c r="J2467" s="14" t="s">
        <v>47</v>
      </c>
      <c r="K2467" s="15" t="s">
        <v>64</v>
      </c>
      <c r="L2467" s="57"/>
      <c r="M2467" s="14"/>
      <c r="N2467" s="14" t="s">
        <v>125</v>
      </c>
      <c r="O2467" s="14"/>
      <c r="P2467" s="15" t="s">
        <v>555</v>
      </c>
      <c r="Q2467" s="16">
        <v>6699</v>
      </c>
      <c r="R2467" s="17">
        <v>40</v>
      </c>
      <c r="S2467" s="18">
        <v>4622.3099999999995</v>
      </c>
      <c r="T2467" s="19" t="s">
        <v>36</v>
      </c>
      <c r="U2467" s="20" t="s">
        <v>37</v>
      </c>
      <c r="V2467" s="21" t="s">
        <v>86</v>
      </c>
      <c r="W2467" s="22">
        <v>1</v>
      </c>
      <c r="X2467" s="23"/>
    </row>
    <row r="2468" spans="1:24" s="1" customFormat="1" ht="26.1" customHeight="1" x14ac:dyDescent="0.3">
      <c r="A2468" s="24" t="s">
        <v>23</v>
      </c>
      <c r="B2468" s="24" t="s">
        <v>2734</v>
      </c>
      <c r="C2468" s="12" t="s">
        <v>2737</v>
      </c>
      <c r="D2468" s="54"/>
      <c r="E2468" s="39" t="str">
        <f>HYPERLINK("https://www.google.ru/search?q=6009705-338&amp;newwindow=1&amp;tbm=isch","Еще фото")</f>
        <v>Еще фото</v>
      </c>
      <c r="F2468" s="13"/>
      <c r="G2468" s="24" t="s">
        <v>2198</v>
      </c>
      <c r="H2468" s="24" t="s">
        <v>27</v>
      </c>
      <c r="I2468" s="24" t="s">
        <v>2190</v>
      </c>
      <c r="J2468" s="14" t="s">
        <v>47</v>
      </c>
      <c r="K2468" s="15" t="s">
        <v>64</v>
      </c>
      <c r="L2468" s="57"/>
      <c r="M2468" s="14"/>
      <c r="N2468" s="14" t="s">
        <v>125</v>
      </c>
      <c r="O2468" s="14"/>
      <c r="P2468" s="15" t="s">
        <v>555</v>
      </c>
      <c r="Q2468" s="16">
        <v>6699</v>
      </c>
      <c r="R2468" s="17">
        <v>40</v>
      </c>
      <c r="S2468" s="18">
        <v>4622.3099999999995</v>
      </c>
      <c r="T2468" s="19" t="s">
        <v>36</v>
      </c>
      <c r="U2468" s="20" t="s">
        <v>39</v>
      </c>
      <c r="V2468" s="21" t="s">
        <v>38</v>
      </c>
      <c r="W2468" s="22">
        <v>1</v>
      </c>
      <c r="X2468" s="23"/>
    </row>
    <row r="2469" spans="1:24" s="1" customFormat="1" ht="26.1" customHeight="1" x14ac:dyDescent="0.3">
      <c r="A2469" s="24" t="s">
        <v>23</v>
      </c>
      <c r="B2469" s="24" t="s">
        <v>2734</v>
      </c>
      <c r="C2469" s="12" t="s">
        <v>2737</v>
      </c>
      <c r="D2469" s="55"/>
      <c r="E2469" s="39" t="str">
        <f>HYPERLINK("https://www.google.ru/search?q=6009705-338&amp;newwindow=1&amp;tbm=isch","Еще фото")</f>
        <v>Еще фото</v>
      </c>
      <c r="F2469" s="13"/>
      <c r="G2469" s="24" t="s">
        <v>2198</v>
      </c>
      <c r="H2469" s="24" t="s">
        <v>27</v>
      </c>
      <c r="I2469" s="24" t="s">
        <v>2190</v>
      </c>
      <c r="J2469" s="14" t="s">
        <v>47</v>
      </c>
      <c r="K2469" s="15" t="s">
        <v>64</v>
      </c>
      <c r="L2469" s="58"/>
      <c r="M2469" s="14"/>
      <c r="N2469" s="14" t="s">
        <v>125</v>
      </c>
      <c r="O2469" s="14"/>
      <c r="P2469" s="15" t="s">
        <v>555</v>
      </c>
      <c r="Q2469" s="16">
        <v>6699</v>
      </c>
      <c r="R2469" s="17">
        <v>40</v>
      </c>
      <c r="S2469" s="18">
        <v>4622.3099999999995</v>
      </c>
      <c r="T2469" s="19" t="s">
        <v>36</v>
      </c>
      <c r="U2469" s="20" t="s">
        <v>41</v>
      </c>
      <c r="V2469" s="21" t="s">
        <v>40</v>
      </c>
      <c r="W2469" s="22">
        <v>12</v>
      </c>
      <c r="X2469" s="23"/>
    </row>
    <row r="2470" spans="1:24" s="1" customFormat="1" ht="26.1" customHeight="1" x14ac:dyDescent="0.3">
      <c r="A2470" s="11" t="s">
        <v>23</v>
      </c>
      <c r="B2470" s="11" t="s">
        <v>2738</v>
      </c>
      <c r="C2470" s="12" t="s">
        <v>2739</v>
      </c>
      <c r="D2470" s="53"/>
      <c r="E2470" s="39" t="str">
        <f>HYPERLINK("https://www.google.ru/search?q=6009747-001&amp;newwindow=1&amp;tbm=isch","Еще фото")</f>
        <v>Еще фото</v>
      </c>
      <c r="F2470" s="13"/>
      <c r="G2470" s="11" t="s">
        <v>643</v>
      </c>
      <c r="H2470" s="11" t="s">
        <v>27</v>
      </c>
      <c r="I2470" s="14" t="s">
        <v>2190</v>
      </c>
      <c r="J2470" s="14" t="s">
        <v>212</v>
      </c>
      <c r="K2470" s="15" t="s">
        <v>30</v>
      </c>
      <c r="L2470" s="56"/>
      <c r="M2470" s="14"/>
      <c r="N2470" s="14" t="s">
        <v>33</v>
      </c>
      <c r="O2470" s="14"/>
      <c r="P2470" s="15" t="s">
        <v>779</v>
      </c>
      <c r="Q2470" s="16">
        <v>10499</v>
      </c>
      <c r="R2470" s="17">
        <v>40</v>
      </c>
      <c r="S2470" s="18">
        <v>7244.3099999999986</v>
      </c>
      <c r="T2470" s="19" t="s">
        <v>36</v>
      </c>
      <c r="U2470" s="20" t="s">
        <v>37</v>
      </c>
      <c r="V2470" s="21" t="s">
        <v>38</v>
      </c>
      <c r="W2470" s="22">
        <v>2</v>
      </c>
      <c r="X2470" s="23"/>
    </row>
    <row r="2471" spans="1:24" s="1" customFormat="1" ht="26.1" customHeight="1" x14ac:dyDescent="0.3">
      <c r="A2471" s="24" t="s">
        <v>23</v>
      </c>
      <c r="B2471" s="24" t="s">
        <v>2738</v>
      </c>
      <c r="C2471" s="12" t="s">
        <v>2739</v>
      </c>
      <c r="D2471" s="54"/>
      <c r="E2471" s="39" t="str">
        <f>HYPERLINK("https://www.google.ru/search?q=6009747-001&amp;newwindow=1&amp;tbm=isch","Еще фото")</f>
        <v>Еще фото</v>
      </c>
      <c r="F2471" s="13"/>
      <c r="G2471" s="24" t="s">
        <v>643</v>
      </c>
      <c r="H2471" s="24" t="s">
        <v>27</v>
      </c>
      <c r="I2471" s="24" t="s">
        <v>2190</v>
      </c>
      <c r="J2471" s="14" t="s">
        <v>212</v>
      </c>
      <c r="K2471" s="15" t="s">
        <v>30</v>
      </c>
      <c r="L2471" s="57"/>
      <c r="M2471" s="14"/>
      <c r="N2471" s="14" t="s">
        <v>33</v>
      </c>
      <c r="O2471" s="14"/>
      <c r="P2471" s="15" t="s">
        <v>779</v>
      </c>
      <c r="Q2471" s="16">
        <v>10499</v>
      </c>
      <c r="R2471" s="17">
        <v>40</v>
      </c>
      <c r="S2471" s="18">
        <v>7244.3099999999986</v>
      </c>
      <c r="T2471" s="19" t="s">
        <v>36</v>
      </c>
      <c r="U2471" s="20" t="s">
        <v>39</v>
      </c>
      <c r="V2471" s="21" t="s">
        <v>40</v>
      </c>
      <c r="W2471" s="22">
        <v>16</v>
      </c>
      <c r="X2471" s="23"/>
    </row>
    <row r="2472" spans="1:24" s="1" customFormat="1" ht="26.1" customHeight="1" x14ac:dyDescent="0.3">
      <c r="A2472" s="24" t="s">
        <v>23</v>
      </c>
      <c r="B2472" s="24" t="s">
        <v>2738</v>
      </c>
      <c r="C2472" s="12" t="s">
        <v>2739</v>
      </c>
      <c r="D2472" s="54"/>
      <c r="E2472" s="39" t="str">
        <f>HYPERLINK("https://www.google.ru/search?q=6009747-001&amp;newwindow=1&amp;tbm=isch","Еще фото")</f>
        <v>Еще фото</v>
      </c>
      <c r="F2472" s="13"/>
      <c r="G2472" s="24" t="s">
        <v>643</v>
      </c>
      <c r="H2472" s="24" t="s">
        <v>27</v>
      </c>
      <c r="I2472" s="24" t="s">
        <v>2190</v>
      </c>
      <c r="J2472" s="14" t="s">
        <v>212</v>
      </c>
      <c r="K2472" s="15" t="s">
        <v>30</v>
      </c>
      <c r="L2472" s="57"/>
      <c r="M2472" s="14"/>
      <c r="N2472" s="14" t="s">
        <v>33</v>
      </c>
      <c r="O2472" s="14"/>
      <c r="P2472" s="15" t="s">
        <v>779</v>
      </c>
      <c r="Q2472" s="16">
        <v>10499</v>
      </c>
      <c r="R2472" s="17">
        <v>40</v>
      </c>
      <c r="S2472" s="18">
        <v>7244.3099999999986</v>
      </c>
      <c r="T2472" s="19" t="s">
        <v>36</v>
      </c>
      <c r="U2472" s="20" t="s">
        <v>41</v>
      </c>
      <c r="V2472" s="21" t="s">
        <v>42</v>
      </c>
      <c r="W2472" s="22">
        <v>15</v>
      </c>
      <c r="X2472" s="23"/>
    </row>
    <row r="2473" spans="1:24" s="1" customFormat="1" ht="26.1" customHeight="1" x14ac:dyDescent="0.3">
      <c r="A2473" s="24" t="s">
        <v>23</v>
      </c>
      <c r="B2473" s="24" t="s">
        <v>2738</v>
      </c>
      <c r="C2473" s="12" t="s">
        <v>2739</v>
      </c>
      <c r="D2473" s="55"/>
      <c r="E2473" s="39" t="str">
        <f>HYPERLINK("https://www.google.ru/search?q=6009747-001&amp;newwindow=1&amp;tbm=isch","Еще фото")</f>
        <v>Еще фото</v>
      </c>
      <c r="F2473" s="13"/>
      <c r="G2473" s="24" t="s">
        <v>643</v>
      </c>
      <c r="H2473" s="24" t="s">
        <v>27</v>
      </c>
      <c r="I2473" s="24" t="s">
        <v>2190</v>
      </c>
      <c r="J2473" s="14" t="s">
        <v>212</v>
      </c>
      <c r="K2473" s="15" t="s">
        <v>30</v>
      </c>
      <c r="L2473" s="58"/>
      <c r="M2473" s="14"/>
      <c r="N2473" s="14" t="s">
        <v>33</v>
      </c>
      <c r="O2473" s="14"/>
      <c r="P2473" s="15" t="s">
        <v>779</v>
      </c>
      <c r="Q2473" s="16">
        <v>10499</v>
      </c>
      <c r="R2473" s="17">
        <v>40</v>
      </c>
      <c r="S2473" s="18">
        <v>7244.3099999999986</v>
      </c>
      <c r="T2473" s="19" t="s">
        <v>36</v>
      </c>
      <c r="U2473" s="20" t="s">
        <v>43</v>
      </c>
      <c r="V2473" s="21" t="s">
        <v>44</v>
      </c>
      <c r="W2473" s="22">
        <v>4</v>
      </c>
      <c r="X2473" s="23"/>
    </row>
    <row r="2474" spans="1:24" s="1" customFormat="1" ht="21" customHeight="1" x14ac:dyDescent="0.3">
      <c r="A2474" s="11" t="s">
        <v>23</v>
      </c>
      <c r="B2474" s="11" t="s">
        <v>2738</v>
      </c>
      <c r="C2474" s="26" t="s">
        <v>2740</v>
      </c>
      <c r="D2474" s="53"/>
      <c r="E2474" s="39" t="str">
        <f>HYPERLINK("https://www.google.ru/search?q=6009747-410&amp;newwindow=1&amp;tbm=isch","Еще фото")</f>
        <v>Еще фото</v>
      </c>
      <c r="F2474" s="13"/>
      <c r="G2474" s="11" t="s">
        <v>643</v>
      </c>
      <c r="H2474" s="11" t="s">
        <v>27</v>
      </c>
      <c r="I2474" s="14" t="s">
        <v>2190</v>
      </c>
      <c r="J2474" s="14" t="s">
        <v>212</v>
      </c>
      <c r="K2474" s="15" t="s">
        <v>30</v>
      </c>
      <c r="L2474" s="56"/>
      <c r="M2474" s="14"/>
      <c r="N2474" s="14" t="s">
        <v>91</v>
      </c>
      <c r="O2474" s="14"/>
      <c r="P2474" s="15" t="s">
        <v>779</v>
      </c>
      <c r="Q2474" s="16">
        <v>10499</v>
      </c>
      <c r="R2474" s="17">
        <v>40</v>
      </c>
      <c r="S2474" s="18">
        <v>7244.3099999999986</v>
      </c>
      <c r="T2474" s="19" t="s">
        <v>36</v>
      </c>
      <c r="U2474" s="20" t="s">
        <v>37</v>
      </c>
      <c r="V2474" s="21" t="s">
        <v>38</v>
      </c>
      <c r="W2474" s="22">
        <v>8</v>
      </c>
      <c r="X2474" s="23"/>
    </row>
    <row r="2475" spans="1:24" s="1" customFormat="1" ht="21" customHeight="1" x14ac:dyDescent="0.3">
      <c r="A2475" s="24" t="s">
        <v>23</v>
      </c>
      <c r="B2475" s="24" t="s">
        <v>2738</v>
      </c>
      <c r="C2475" s="27" t="s">
        <v>2740</v>
      </c>
      <c r="D2475" s="54"/>
      <c r="E2475" s="39" t="str">
        <f>HYPERLINK("https://www.google.ru/search?q=6009747-410&amp;newwindow=1&amp;tbm=isch","Еще фото")</f>
        <v>Еще фото</v>
      </c>
      <c r="F2475" s="13"/>
      <c r="G2475" s="24" t="s">
        <v>643</v>
      </c>
      <c r="H2475" s="24" t="s">
        <v>27</v>
      </c>
      <c r="I2475" s="24" t="s">
        <v>2190</v>
      </c>
      <c r="J2475" s="14" t="s">
        <v>212</v>
      </c>
      <c r="K2475" s="15" t="s">
        <v>30</v>
      </c>
      <c r="L2475" s="57"/>
      <c r="M2475" s="14"/>
      <c r="N2475" s="14" t="s">
        <v>91</v>
      </c>
      <c r="O2475" s="14"/>
      <c r="P2475" s="15" t="s">
        <v>779</v>
      </c>
      <c r="Q2475" s="16">
        <v>10499</v>
      </c>
      <c r="R2475" s="17">
        <v>40</v>
      </c>
      <c r="S2475" s="18">
        <v>7244.3099999999986</v>
      </c>
      <c r="T2475" s="19" t="s">
        <v>36</v>
      </c>
      <c r="U2475" s="20" t="s">
        <v>39</v>
      </c>
      <c r="V2475" s="21" t="s">
        <v>40</v>
      </c>
      <c r="W2475" s="22">
        <v>20</v>
      </c>
      <c r="X2475" s="23"/>
    </row>
    <row r="2476" spans="1:24" s="1" customFormat="1" ht="21" customHeight="1" x14ac:dyDescent="0.3">
      <c r="A2476" s="24" t="s">
        <v>23</v>
      </c>
      <c r="B2476" s="24" t="s">
        <v>2738</v>
      </c>
      <c r="C2476" s="27" t="s">
        <v>2740</v>
      </c>
      <c r="D2476" s="54"/>
      <c r="E2476" s="39" t="str">
        <f>HYPERLINK("https://www.google.ru/search?q=6009747-410&amp;newwindow=1&amp;tbm=isch","Еще фото")</f>
        <v>Еще фото</v>
      </c>
      <c r="F2476" s="13"/>
      <c r="G2476" s="24" t="s">
        <v>643</v>
      </c>
      <c r="H2476" s="24" t="s">
        <v>27</v>
      </c>
      <c r="I2476" s="24" t="s">
        <v>2190</v>
      </c>
      <c r="J2476" s="14" t="s">
        <v>212</v>
      </c>
      <c r="K2476" s="15" t="s">
        <v>30</v>
      </c>
      <c r="L2476" s="57"/>
      <c r="M2476" s="14"/>
      <c r="N2476" s="14" t="s">
        <v>91</v>
      </c>
      <c r="O2476" s="14"/>
      <c r="P2476" s="15" t="s">
        <v>779</v>
      </c>
      <c r="Q2476" s="16">
        <v>10499</v>
      </c>
      <c r="R2476" s="17">
        <v>40</v>
      </c>
      <c r="S2476" s="18">
        <v>7244.3099999999986</v>
      </c>
      <c r="T2476" s="19" t="s">
        <v>36</v>
      </c>
      <c r="U2476" s="20" t="s">
        <v>41</v>
      </c>
      <c r="V2476" s="21" t="s">
        <v>42</v>
      </c>
      <c r="W2476" s="22">
        <v>14</v>
      </c>
      <c r="X2476" s="23"/>
    </row>
    <row r="2477" spans="1:24" s="1" customFormat="1" ht="21" customHeight="1" x14ac:dyDescent="0.3">
      <c r="A2477" s="24" t="s">
        <v>23</v>
      </c>
      <c r="B2477" s="24" t="s">
        <v>2738</v>
      </c>
      <c r="C2477" s="27" t="s">
        <v>2740</v>
      </c>
      <c r="D2477" s="54"/>
      <c r="E2477" s="39" t="str">
        <f>HYPERLINK("https://www.google.ru/search?q=6009747-410&amp;newwindow=1&amp;tbm=isch","Еще фото")</f>
        <v>Еще фото</v>
      </c>
      <c r="F2477" s="13"/>
      <c r="G2477" s="24" t="s">
        <v>643</v>
      </c>
      <c r="H2477" s="24" t="s">
        <v>27</v>
      </c>
      <c r="I2477" s="24" t="s">
        <v>2190</v>
      </c>
      <c r="J2477" s="14" t="s">
        <v>212</v>
      </c>
      <c r="K2477" s="15" t="s">
        <v>30</v>
      </c>
      <c r="L2477" s="57"/>
      <c r="M2477" s="14"/>
      <c r="N2477" s="14" t="s">
        <v>91</v>
      </c>
      <c r="O2477" s="14"/>
      <c r="P2477" s="15" t="s">
        <v>779</v>
      </c>
      <c r="Q2477" s="16">
        <v>10499</v>
      </c>
      <c r="R2477" s="17">
        <v>40</v>
      </c>
      <c r="S2477" s="18">
        <v>7244.3099999999986</v>
      </c>
      <c r="T2477" s="19" t="s">
        <v>36</v>
      </c>
      <c r="U2477" s="20" t="s">
        <v>43</v>
      </c>
      <c r="V2477" s="21" t="s">
        <v>44</v>
      </c>
      <c r="W2477" s="22">
        <v>11</v>
      </c>
      <c r="X2477" s="23"/>
    </row>
    <row r="2478" spans="1:24" s="1" customFormat="1" ht="32.1" customHeight="1" x14ac:dyDescent="0.3">
      <c r="A2478" s="24" t="s">
        <v>23</v>
      </c>
      <c r="B2478" s="24" t="s">
        <v>2738</v>
      </c>
      <c r="C2478" s="27" t="s">
        <v>2740</v>
      </c>
      <c r="D2478" s="55"/>
      <c r="E2478" s="39" t="str">
        <f>HYPERLINK("https://www.google.ru/search?q=6009747-410&amp;newwindow=1&amp;tbm=isch","Еще фото")</f>
        <v>Еще фото</v>
      </c>
      <c r="F2478" s="13"/>
      <c r="G2478" s="24" t="s">
        <v>643</v>
      </c>
      <c r="H2478" s="24" t="s">
        <v>27</v>
      </c>
      <c r="I2478" s="24" t="s">
        <v>2190</v>
      </c>
      <c r="J2478" s="14" t="s">
        <v>212</v>
      </c>
      <c r="K2478" s="15" t="s">
        <v>30</v>
      </c>
      <c r="L2478" s="58"/>
      <c r="M2478" s="14"/>
      <c r="N2478" s="14" t="s">
        <v>91</v>
      </c>
      <c r="O2478" s="14"/>
      <c r="P2478" s="15" t="s">
        <v>779</v>
      </c>
      <c r="Q2478" s="16">
        <v>10499</v>
      </c>
      <c r="R2478" s="17">
        <v>40</v>
      </c>
      <c r="S2478" s="18">
        <v>7244.3099999999986</v>
      </c>
      <c r="T2478" s="19" t="s">
        <v>36</v>
      </c>
      <c r="U2478" s="20" t="s">
        <v>104</v>
      </c>
      <c r="V2478" s="21" t="s">
        <v>105</v>
      </c>
      <c r="W2478" s="22">
        <v>2</v>
      </c>
      <c r="X2478" s="23"/>
    </row>
    <row r="2479" spans="1:24" s="1" customFormat="1" ht="21" customHeight="1" x14ac:dyDescent="0.3">
      <c r="A2479" s="11" t="s">
        <v>23</v>
      </c>
      <c r="B2479" s="11" t="s">
        <v>2741</v>
      </c>
      <c r="C2479" s="26" t="s">
        <v>2742</v>
      </c>
      <c r="D2479" s="53"/>
      <c r="E2479" s="39" t="str">
        <f>HYPERLINK("https://www.google.ru/search?q=6009748-001&amp;newwindow=1&amp;tbm=isch","Еще фото")</f>
        <v>Еще фото</v>
      </c>
      <c r="F2479" s="13" t="s">
        <v>98</v>
      </c>
      <c r="G2479" s="11" t="s">
        <v>2189</v>
      </c>
      <c r="H2479" s="11" t="s">
        <v>27</v>
      </c>
      <c r="I2479" s="14" t="s">
        <v>2190</v>
      </c>
      <c r="J2479" s="14" t="s">
        <v>212</v>
      </c>
      <c r="K2479" s="15" t="s">
        <v>30</v>
      </c>
      <c r="L2479" s="56" t="s">
        <v>2743</v>
      </c>
      <c r="M2479" s="14"/>
      <c r="N2479" s="14" t="s">
        <v>33</v>
      </c>
      <c r="O2479" s="14"/>
      <c r="P2479" s="15" t="s">
        <v>2744</v>
      </c>
      <c r="Q2479" s="16">
        <v>9799</v>
      </c>
      <c r="R2479" s="17">
        <v>40</v>
      </c>
      <c r="S2479" s="18">
        <v>6761.3099999999995</v>
      </c>
      <c r="T2479" s="19" t="s">
        <v>36</v>
      </c>
      <c r="U2479" s="20" t="s">
        <v>37</v>
      </c>
      <c r="V2479" s="21" t="s">
        <v>38</v>
      </c>
      <c r="W2479" s="22">
        <v>12</v>
      </c>
      <c r="X2479" s="23"/>
    </row>
    <row r="2480" spans="1:24" s="1" customFormat="1" ht="21" customHeight="1" x14ac:dyDescent="0.3">
      <c r="A2480" s="24" t="s">
        <v>23</v>
      </c>
      <c r="B2480" s="24" t="s">
        <v>2741</v>
      </c>
      <c r="C2480" s="27" t="s">
        <v>2742</v>
      </c>
      <c r="D2480" s="54"/>
      <c r="E2480" s="39" t="str">
        <f>HYPERLINK("https://www.google.ru/search?q=6009748-001&amp;newwindow=1&amp;tbm=isch","Еще фото")</f>
        <v>Еще фото</v>
      </c>
      <c r="F2480" s="13" t="s">
        <v>98</v>
      </c>
      <c r="G2480" s="24" t="s">
        <v>2189</v>
      </c>
      <c r="H2480" s="24" t="s">
        <v>27</v>
      </c>
      <c r="I2480" s="24" t="s">
        <v>2190</v>
      </c>
      <c r="J2480" s="14" t="s">
        <v>212</v>
      </c>
      <c r="K2480" s="15" t="s">
        <v>30</v>
      </c>
      <c r="L2480" s="57"/>
      <c r="M2480" s="14"/>
      <c r="N2480" s="14" t="s">
        <v>33</v>
      </c>
      <c r="O2480" s="14"/>
      <c r="P2480" s="15" t="s">
        <v>2744</v>
      </c>
      <c r="Q2480" s="16">
        <v>9799</v>
      </c>
      <c r="R2480" s="17">
        <v>40</v>
      </c>
      <c r="S2480" s="18">
        <v>6761.3099999999995</v>
      </c>
      <c r="T2480" s="19" t="s">
        <v>36</v>
      </c>
      <c r="U2480" s="20" t="s">
        <v>39</v>
      </c>
      <c r="V2480" s="21" t="s">
        <v>40</v>
      </c>
      <c r="W2480" s="22">
        <v>22</v>
      </c>
      <c r="X2480" s="23"/>
    </row>
    <row r="2481" spans="1:24" s="1" customFormat="1" ht="21" customHeight="1" x14ac:dyDescent="0.3">
      <c r="A2481" s="24" t="s">
        <v>23</v>
      </c>
      <c r="B2481" s="24" t="s">
        <v>2741</v>
      </c>
      <c r="C2481" s="27" t="s">
        <v>2742</v>
      </c>
      <c r="D2481" s="54"/>
      <c r="E2481" s="39" t="str">
        <f>HYPERLINK("https://www.google.ru/search?q=6009748-001&amp;newwindow=1&amp;tbm=isch","Еще фото")</f>
        <v>Еще фото</v>
      </c>
      <c r="F2481" s="13" t="s">
        <v>98</v>
      </c>
      <c r="G2481" s="24" t="s">
        <v>2189</v>
      </c>
      <c r="H2481" s="24" t="s">
        <v>27</v>
      </c>
      <c r="I2481" s="24" t="s">
        <v>2190</v>
      </c>
      <c r="J2481" s="14" t="s">
        <v>212</v>
      </c>
      <c r="K2481" s="15" t="s">
        <v>30</v>
      </c>
      <c r="L2481" s="57"/>
      <c r="M2481" s="14"/>
      <c r="N2481" s="14" t="s">
        <v>33</v>
      </c>
      <c r="O2481" s="14"/>
      <c r="P2481" s="15" t="s">
        <v>2744</v>
      </c>
      <c r="Q2481" s="16">
        <v>9799</v>
      </c>
      <c r="R2481" s="17">
        <v>40</v>
      </c>
      <c r="S2481" s="18">
        <v>6761.3099999999995</v>
      </c>
      <c r="T2481" s="19" t="s">
        <v>36</v>
      </c>
      <c r="U2481" s="20" t="s">
        <v>41</v>
      </c>
      <c r="V2481" s="21" t="s">
        <v>42</v>
      </c>
      <c r="W2481" s="22">
        <v>23</v>
      </c>
      <c r="X2481" s="23"/>
    </row>
    <row r="2482" spans="1:24" s="1" customFormat="1" ht="21" customHeight="1" x14ac:dyDescent="0.3">
      <c r="A2482" s="24" t="s">
        <v>23</v>
      </c>
      <c r="B2482" s="24" t="s">
        <v>2741</v>
      </c>
      <c r="C2482" s="27" t="s">
        <v>2742</v>
      </c>
      <c r="D2482" s="54"/>
      <c r="E2482" s="39" t="str">
        <f>HYPERLINK("https://www.google.ru/search?q=6009748-001&amp;newwindow=1&amp;tbm=isch","Еще фото")</f>
        <v>Еще фото</v>
      </c>
      <c r="F2482" s="13" t="s">
        <v>98</v>
      </c>
      <c r="G2482" s="24" t="s">
        <v>2189</v>
      </c>
      <c r="H2482" s="24" t="s">
        <v>27</v>
      </c>
      <c r="I2482" s="24" t="s">
        <v>2190</v>
      </c>
      <c r="J2482" s="14" t="s">
        <v>212</v>
      </c>
      <c r="K2482" s="15" t="s">
        <v>30</v>
      </c>
      <c r="L2482" s="57"/>
      <c r="M2482" s="14"/>
      <c r="N2482" s="14" t="s">
        <v>33</v>
      </c>
      <c r="O2482" s="14"/>
      <c r="P2482" s="15" t="s">
        <v>2744</v>
      </c>
      <c r="Q2482" s="16">
        <v>9799</v>
      </c>
      <c r="R2482" s="17">
        <v>40</v>
      </c>
      <c r="S2482" s="18">
        <v>6761.3099999999995</v>
      </c>
      <c r="T2482" s="19" t="s">
        <v>36</v>
      </c>
      <c r="U2482" s="20" t="s">
        <v>43</v>
      </c>
      <c r="V2482" s="21" t="s">
        <v>44</v>
      </c>
      <c r="W2482" s="22">
        <v>11</v>
      </c>
      <c r="X2482" s="23"/>
    </row>
    <row r="2483" spans="1:24" s="1" customFormat="1" ht="32.1" customHeight="1" x14ac:dyDescent="0.3">
      <c r="A2483" s="24" t="s">
        <v>23</v>
      </c>
      <c r="B2483" s="24" t="s">
        <v>2741</v>
      </c>
      <c r="C2483" s="27" t="s">
        <v>2742</v>
      </c>
      <c r="D2483" s="55"/>
      <c r="E2483" s="39" t="str">
        <f>HYPERLINK("https://www.google.ru/search?q=6009748-001&amp;newwindow=1&amp;tbm=isch","Еще фото")</f>
        <v>Еще фото</v>
      </c>
      <c r="F2483" s="13" t="s">
        <v>98</v>
      </c>
      <c r="G2483" s="24" t="s">
        <v>2189</v>
      </c>
      <c r="H2483" s="24" t="s">
        <v>27</v>
      </c>
      <c r="I2483" s="24" t="s">
        <v>2190</v>
      </c>
      <c r="J2483" s="14" t="s">
        <v>212</v>
      </c>
      <c r="K2483" s="15" t="s">
        <v>30</v>
      </c>
      <c r="L2483" s="58"/>
      <c r="M2483" s="14"/>
      <c r="N2483" s="14" t="s">
        <v>33</v>
      </c>
      <c r="O2483" s="14"/>
      <c r="P2483" s="15" t="s">
        <v>2744</v>
      </c>
      <c r="Q2483" s="16">
        <v>9799</v>
      </c>
      <c r="R2483" s="17">
        <v>40</v>
      </c>
      <c r="S2483" s="18">
        <v>6761.3099999999995</v>
      </c>
      <c r="T2483" s="19" t="s">
        <v>36</v>
      </c>
      <c r="U2483" s="20" t="s">
        <v>104</v>
      </c>
      <c r="V2483" s="21" t="s">
        <v>105</v>
      </c>
      <c r="W2483" s="22">
        <v>2</v>
      </c>
      <c r="X2483" s="23"/>
    </row>
    <row r="2484" spans="1:24" s="1" customFormat="1" ht="51.95" customHeight="1" x14ac:dyDescent="0.3">
      <c r="A2484" s="11" t="s">
        <v>23</v>
      </c>
      <c r="B2484" s="11" t="s">
        <v>2745</v>
      </c>
      <c r="C2484" s="12" t="s">
        <v>2746</v>
      </c>
      <c r="D2484" s="59"/>
      <c r="E2484" s="39" t="str">
        <f>HYPERLINK("https://www.google.ru/search?q=6010129-001&amp;newwindow=1&amp;tbm=isch","Еще фото")</f>
        <v>Еще фото</v>
      </c>
      <c r="F2484" s="13"/>
      <c r="G2484" s="11" t="s">
        <v>2189</v>
      </c>
      <c r="H2484" s="11" t="s">
        <v>27</v>
      </c>
      <c r="I2484" s="14" t="s">
        <v>2190</v>
      </c>
      <c r="J2484" s="14" t="s">
        <v>212</v>
      </c>
      <c r="K2484" s="15" t="s">
        <v>30</v>
      </c>
      <c r="L2484" s="56" t="s">
        <v>2747</v>
      </c>
      <c r="M2484" s="14"/>
      <c r="N2484" s="14" t="s">
        <v>33</v>
      </c>
      <c r="O2484" s="14"/>
      <c r="P2484" s="15" t="s">
        <v>779</v>
      </c>
      <c r="Q2484" s="16">
        <v>7599</v>
      </c>
      <c r="R2484" s="17">
        <v>40</v>
      </c>
      <c r="S2484" s="18">
        <v>5243.3099999999995</v>
      </c>
      <c r="T2484" s="19" t="s">
        <v>36</v>
      </c>
      <c r="U2484" s="20" t="s">
        <v>41</v>
      </c>
      <c r="V2484" s="21" t="s">
        <v>42</v>
      </c>
      <c r="W2484" s="22">
        <v>1</v>
      </c>
      <c r="X2484" s="23"/>
    </row>
    <row r="2485" spans="1:24" s="1" customFormat="1" ht="60.95" customHeight="1" x14ac:dyDescent="0.3">
      <c r="A2485" s="24" t="s">
        <v>23</v>
      </c>
      <c r="B2485" s="24" t="s">
        <v>2745</v>
      </c>
      <c r="C2485" s="12" t="s">
        <v>2746</v>
      </c>
      <c r="D2485" s="60"/>
      <c r="E2485" s="39" t="str">
        <f>HYPERLINK("https://www.google.ru/search?q=6010129-001&amp;newwindow=1&amp;tbm=isch","Еще фото")</f>
        <v>Еще фото</v>
      </c>
      <c r="F2485" s="13"/>
      <c r="G2485" s="24" t="s">
        <v>2189</v>
      </c>
      <c r="H2485" s="24" t="s">
        <v>27</v>
      </c>
      <c r="I2485" s="24" t="s">
        <v>2190</v>
      </c>
      <c r="J2485" s="14" t="s">
        <v>212</v>
      </c>
      <c r="K2485" s="15" t="s">
        <v>30</v>
      </c>
      <c r="L2485" s="58"/>
      <c r="M2485" s="14"/>
      <c r="N2485" s="14" t="s">
        <v>33</v>
      </c>
      <c r="O2485" s="14"/>
      <c r="P2485" s="15" t="s">
        <v>779</v>
      </c>
      <c r="Q2485" s="16">
        <v>7599</v>
      </c>
      <c r="R2485" s="17">
        <v>40</v>
      </c>
      <c r="S2485" s="18">
        <v>5243.3099999999995</v>
      </c>
      <c r="T2485" s="19" t="s">
        <v>36</v>
      </c>
      <c r="U2485" s="20" t="s">
        <v>104</v>
      </c>
      <c r="V2485" s="21" t="s">
        <v>105</v>
      </c>
      <c r="W2485" s="22">
        <v>4</v>
      </c>
      <c r="X2485" s="23"/>
    </row>
    <row r="2486" spans="1:24" s="1" customFormat="1" ht="35.1" customHeight="1" x14ac:dyDescent="0.3">
      <c r="A2486" s="11" t="s">
        <v>23</v>
      </c>
      <c r="B2486" s="11" t="s">
        <v>2748</v>
      </c>
      <c r="C2486" s="12" t="s">
        <v>2749</v>
      </c>
      <c r="D2486" s="53"/>
      <c r="E2486" s="39" t="str">
        <f>HYPERLINK("https://www.google.ru/search?q=6010350-110&amp;newwindow=1&amp;tbm=isch","Еще фото")</f>
        <v>Еще фото</v>
      </c>
      <c r="F2486" s="13" t="s">
        <v>98</v>
      </c>
      <c r="G2486" s="11" t="s">
        <v>2202</v>
      </c>
      <c r="H2486" s="11" t="s">
        <v>27</v>
      </c>
      <c r="I2486" s="14" t="s">
        <v>2190</v>
      </c>
      <c r="J2486" s="14" t="s">
        <v>47</v>
      </c>
      <c r="K2486" s="15" t="s">
        <v>64</v>
      </c>
      <c r="L2486" s="56" t="s">
        <v>2750</v>
      </c>
      <c r="M2486" s="14"/>
      <c r="N2486" s="14" t="s">
        <v>215</v>
      </c>
      <c r="O2486" s="14"/>
      <c r="P2486" s="15" t="s">
        <v>561</v>
      </c>
      <c r="Q2486" s="16">
        <v>12599</v>
      </c>
      <c r="R2486" s="17">
        <v>40</v>
      </c>
      <c r="S2486" s="18">
        <v>8693.31</v>
      </c>
      <c r="T2486" s="19" t="s">
        <v>36</v>
      </c>
      <c r="U2486" s="20" t="s">
        <v>69</v>
      </c>
      <c r="V2486" s="21" t="s">
        <v>70</v>
      </c>
      <c r="W2486" s="22">
        <v>1</v>
      </c>
      <c r="X2486" s="23"/>
    </row>
    <row r="2487" spans="1:24" s="1" customFormat="1" ht="35.1" customHeight="1" x14ac:dyDescent="0.3">
      <c r="A2487" s="24" t="s">
        <v>23</v>
      </c>
      <c r="B2487" s="24" t="s">
        <v>2748</v>
      </c>
      <c r="C2487" s="12" t="s">
        <v>2749</v>
      </c>
      <c r="D2487" s="54"/>
      <c r="E2487" s="39" t="str">
        <f>HYPERLINK("https://www.google.ru/search?q=6010350-110&amp;newwindow=1&amp;tbm=isch","Еще фото")</f>
        <v>Еще фото</v>
      </c>
      <c r="F2487" s="13" t="s">
        <v>98</v>
      </c>
      <c r="G2487" s="24" t="s">
        <v>2202</v>
      </c>
      <c r="H2487" s="24" t="s">
        <v>27</v>
      </c>
      <c r="I2487" s="24" t="s">
        <v>2190</v>
      </c>
      <c r="J2487" s="14" t="s">
        <v>47</v>
      </c>
      <c r="K2487" s="15" t="s">
        <v>64</v>
      </c>
      <c r="L2487" s="57"/>
      <c r="M2487" s="14"/>
      <c r="N2487" s="14" t="s">
        <v>215</v>
      </c>
      <c r="O2487" s="14"/>
      <c r="P2487" s="15" t="s">
        <v>561</v>
      </c>
      <c r="Q2487" s="16">
        <v>12599</v>
      </c>
      <c r="R2487" s="17">
        <v>40</v>
      </c>
      <c r="S2487" s="18">
        <v>8693.31</v>
      </c>
      <c r="T2487" s="19" t="s">
        <v>36</v>
      </c>
      <c r="U2487" s="20" t="s">
        <v>37</v>
      </c>
      <c r="V2487" s="21" t="s">
        <v>86</v>
      </c>
      <c r="W2487" s="22">
        <v>1</v>
      </c>
      <c r="X2487" s="23"/>
    </row>
    <row r="2488" spans="1:24" s="1" customFormat="1" ht="36.950000000000003" customHeight="1" x14ac:dyDescent="0.3">
      <c r="A2488" s="24" t="s">
        <v>23</v>
      </c>
      <c r="B2488" s="24" t="s">
        <v>2748</v>
      </c>
      <c r="C2488" s="12" t="s">
        <v>2749</v>
      </c>
      <c r="D2488" s="55"/>
      <c r="E2488" s="39" t="str">
        <f>HYPERLINK("https://www.google.ru/search?q=6010350-110&amp;newwindow=1&amp;tbm=isch","Еще фото")</f>
        <v>Еще фото</v>
      </c>
      <c r="F2488" s="13" t="s">
        <v>98</v>
      </c>
      <c r="G2488" s="24" t="s">
        <v>2202</v>
      </c>
      <c r="H2488" s="24" t="s">
        <v>27</v>
      </c>
      <c r="I2488" s="24" t="s">
        <v>2190</v>
      </c>
      <c r="J2488" s="14" t="s">
        <v>47</v>
      </c>
      <c r="K2488" s="15" t="s">
        <v>64</v>
      </c>
      <c r="L2488" s="58"/>
      <c r="M2488" s="14"/>
      <c r="N2488" s="14" t="s">
        <v>215</v>
      </c>
      <c r="O2488" s="14"/>
      <c r="P2488" s="15" t="s">
        <v>561</v>
      </c>
      <c r="Q2488" s="16">
        <v>12599</v>
      </c>
      <c r="R2488" s="17">
        <v>40</v>
      </c>
      <c r="S2488" s="18">
        <v>8693.31</v>
      </c>
      <c r="T2488" s="19" t="s">
        <v>36</v>
      </c>
      <c r="U2488" s="20" t="s">
        <v>41</v>
      </c>
      <c r="V2488" s="21" t="s">
        <v>40</v>
      </c>
      <c r="W2488" s="22">
        <v>8</v>
      </c>
      <c r="X2488" s="23"/>
    </row>
    <row r="2489" spans="1:24" s="1" customFormat="1" ht="51.95" customHeight="1" x14ac:dyDescent="0.3">
      <c r="A2489" s="11" t="s">
        <v>23</v>
      </c>
      <c r="B2489" s="11" t="s">
        <v>2748</v>
      </c>
      <c r="C2489" s="12" t="s">
        <v>2751</v>
      </c>
      <c r="D2489" s="59"/>
      <c r="E2489" s="39" t="str">
        <f>HYPERLINK("https://www.google.ru/search?q=6010350-230&amp;newwindow=1&amp;tbm=isch","Еще фото")</f>
        <v>Еще фото</v>
      </c>
      <c r="F2489" s="13" t="s">
        <v>98</v>
      </c>
      <c r="G2489" s="11" t="s">
        <v>2202</v>
      </c>
      <c r="H2489" s="11" t="s">
        <v>27</v>
      </c>
      <c r="I2489" s="14" t="s">
        <v>2190</v>
      </c>
      <c r="J2489" s="14" t="s">
        <v>47</v>
      </c>
      <c r="K2489" s="15" t="s">
        <v>64</v>
      </c>
      <c r="L2489" s="56" t="s">
        <v>2750</v>
      </c>
      <c r="M2489" s="14"/>
      <c r="N2489" s="14" t="s">
        <v>249</v>
      </c>
      <c r="O2489" s="14"/>
      <c r="P2489" s="15" t="s">
        <v>561</v>
      </c>
      <c r="Q2489" s="16">
        <v>12599</v>
      </c>
      <c r="R2489" s="17">
        <v>40</v>
      </c>
      <c r="S2489" s="18">
        <v>8693.31</v>
      </c>
      <c r="T2489" s="19" t="s">
        <v>36</v>
      </c>
      <c r="U2489" s="20" t="s">
        <v>39</v>
      </c>
      <c r="V2489" s="21" t="s">
        <v>38</v>
      </c>
      <c r="W2489" s="22">
        <v>4</v>
      </c>
      <c r="X2489" s="23"/>
    </row>
    <row r="2490" spans="1:24" s="1" customFormat="1" ht="60.95" customHeight="1" x14ac:dyDescent="0.3">
      <c r="A2490" s="24" t="s">
        <v>23</v>
      </c>
      <c r="B2490" s="24" t="s">
        <v>2748</v>
      </c>
      <c r="C2490" s="12" t="s">
        <v>2751</v>
      </c>
      <c r="D2490" s="60"/>
      <c r="E2490" s="39" t="str">
        <f>HYPERLINK("https://www.google.ru/search?q=6010350-230&amp;newwindow=1&amp;tbm=isch","Еще фото")</f>
        <v>Еще фото</v>
      </c>
      <c r="F2490" s="13" t="s">
        <v>98</v>
      </c>
      <c r="G2490" s="24" t="s">
        <v>2202</v>
      </c>
      <c r="H2490" s="24" t="s">
        <v>27</v>
      </c>
      <c r="I2490" s="24" t="s">
        <v>2190</v>
      </c>
      <c r="J2490" s="14" t="s">
        <v>47</v>
      </c>
      <c r="K2490" s="15" t="s">
        <v>64</v>
      </c>
      <c r="L2490" s="58"/>
      <c r="M2490" s="14"/>
      <c r="N2490" s="14" t="s">
        <v>249</v>
      </c>
      <c r="O2490" s="14"/>
      <c r="P2490" s="15" t="s">
        <v>561</v>
      </c>
      <c r="Q2490" s="16">
        <v>12599</v>
      </c>
      <c r="R2490" s="17">
        <v>40</v>
      </c>
      <c r="S2490" s="18">
        <v>8693.31</v>
      </c>
      <c r="T2490" s="19" t="s">
        <v>36</v>
      </c>
      <c r="U2490" s="20" t="s">
        <v>41</v>
      </c>
      <c r="V2490" s="21" t="s">
        <v>40</v>
      </c>
      <c r="W2490" s="22">
        <v>8</v>
      </c>
      <c r="X2490" s="23"/>
    </row>
    <row r="2491" spans="1:24" s="1" customFormat="1" ht="26.1" customHeight="1" x14ac:dyDescent="0.3">
      <c r="A2491" s="11" t="s">
        <v>23</v>
      </c>
      <c r="B2491" s="11" t="s">
        <v>2752</v>
      </c>
      <c r="C2491" s="12" t="s">
        <v>2753</v>
      </c>
      <c r="D2491" s="53"/>
      <c r="E2491" s="39" t="str">
        <f>HYPERLINK("https://www.google.ru/search?q=6010887-001&amp;newwindow=1&amp;tbm=isch","Еще фото")</f>
        <v>Еще фото</v>
      </c>
      <c r="F2491" s="13" t="s">
        <v>98</v>
      </c>
      <c r="G2491" s="11" t="s">
        <v>2189</v>
      </c>
      <c r="H2491" s="11" t="s">
        <v>27</v>
      </c>
      <c r="I2491" s="14" t="s">
        <v>2190</v>
      </c>
      <c r="J2491" s="14" t="s">
        <v>29</v>
      </c>
      <c r="K2491" s="15" t="s">
        <v>30</v>
      </c>
      <c r="L2491" s="56" t="s">
        <v>2754</v>
      </c>
      <c r="M2491" s="14"/>
      <c r="N2491" s="14" t="s">
        <v>33</v>
      </c>
      <c r="O2491" s="14"/>
      <c r="P2491" s="15" t="s">
        <v>133</v>
      </c>
      <c r="Q2491" s="16">
        <v>6699</v>
      </c>
      <c r="R2491" s="17">
        <v>40</v>
      </c>
      <c r="S2491" s="18">
        <v>4622.3099999999995</v>
      </c>
      <c r="T2491" s="19" t="s">
        <v>36</v>
      </c>
      <c r="U2491" s="20" t="s">
        <v>37</v>
      </c>
      <c r="V2491" s="21" t="s">
        <v>38</v>
      </c>
      <c r="W2491" s="22">
        <v>2</v>
      </c>
      <c r="X2491" s="23"/>
    </row>
    <row r="2492" spans="1:24" s="1" customFormat="1" ht="26.1" customHeight="1" x14ac:dyDescent="0.3">
      <c r="A2492" s="24" t="s">
        <v>23</v>
      </c>
      <c r="B2492" s="24" t="s">
        <v>2752</v>
      </c>
      <c r="C2492" s="12" t="s">
        <v>2753</v>
      </c>
      <c r="D2492" s="54"/>
      <c r="E2492" s="39" t="str">
        <f>HYPERLINK("https://www.google.ru/search?q=6010887-001&amp;newwindow=1&amp;tbm=isch","Еще фото")</f>
        <v>Еще фото</v>
      </c>
      <c r="F2492" s="13" t="s">
        <v>98</v>
      </c>
      <c r="G2492" s="24" t="s">
        <v>2189</v>
      </c>
      <c r="H2492" s="24" t="s">
        <v>27</v>
      </c>
      <c r="I2492" s="24" t="s">
        <v>2190</v>
      </c>
      <c r="J2492" s="14" t="s">
        <v>29</v>
      </c>
      <c r="K2492" s="15" t="s">
        <v>30</v>
      </c>
      <c r="L2492" s="57"/>
      <c r="M2492" s="14"/>
      <c r="N2492" s="14" t="s">
        <v>33</v>
      </c>
      <c r="O2492" s="14"/>
      <c r="P2492" s="15" t="s">
        <v>133</v>
      </c>
      <c r="Q2492" s="16">
        <v>6699</v>
      </c>
      <c r="R2492" s="17">
        <v>40</v>
      </c>
      <c r="S2492" s="18">
        <v>4622.3099999999995</v>
      </c>
      <c r="T2492" s="19" t="s">
        <v>36</v>
      </c>
      <c r="U2492" s="20" t="s">
        <v>39</v>
      </c>
      <c r="V2492" s="21" t="s">
        <v>40</v>
      </c>
      <c r="W2492" s="22">
        <v>11</v>
      </c>
      <c r="X2492" s="23"/>
    </row>
    <row r="2493" spans="1:24" s="1" customFormat="1" ht="26.1" customHeight="1" x14ac:dyDescent="0.3">
      <c r="A2493" s="24" t="s">
        <v>23</v>
      </c>
      <c r="B2493" s="24" t="s">
        <v>2752</v>
      </c>
      <c r="C2493" s="12" t="s">
        <v>2753</v>
      </c>
      <c r="D2493" s="54"/>
      <c r="E2493" s="39" t="str">
        <f>HYPERLINK("https://www.google.ru/search?q=6010887-001&amp;newwindow=1&amp;tbm=isch","Еще фото")</f>
        <v>Еще фото</v>
      </c>
      <c r="F2493" s="13" t="s">
        <v>98</v>
      </c>
      <c r="G2493" s="24" t="s">
        <v>2189</v>
      </c>
      <c r="H2493" s="24" t="s">
        <v>27</v>
      </c>
      <c r="I2493" s="24" t="s">
        <v>2190</v>
      </c>
      <c r="J2493" s="14" t="s">
        <v>29</v>
      </c>
      <c r="K2493" s="15" t="s">
        <v>30</v>
      </c>
      <c r="L2493" s="57"/>
      <c r="M2493" s="14"/>
      <c r="N2493" s="14" t="s">
        <v>33</v>
      </c>
      <c r="O2493" s="14"/>
      <c r="P2493" s="15" t="s">
        <v>133</v>
      </c>
      <c r="Q2493" s="16">
        <v>6699</v>
      </c>
      <c r="R2493" s="17">
        <v>40</v>
      </c>
      <c r="S2493" s="18">
        <v>4622.3099999999995</v>
      </c>
      <c r="T2493" s="19" t="s">
        <v>36</v>
      </c>
      <c r="U2493" s="20" t="s">
        <v>43</v>
      </c>
      <c r="V2493" s="21" t="s">
        <v>44</v>
      </c>
      <c r="W2493" s="22">
        <v>5</v>
      </c>
      <c r="X2493" s="23"/>
    </row>
    <row r="2494" spans="1:24" s="1" customFormat="1" ht="26.1" customHeight="1" x14ac:dyDescent="0.3">
      <c r="A2494" s="24" t="s">
        <v>23</v>
      </c>
      <c r="B2494" s="24" t="s">
        <v>2752</v>
      </c>
      <c r="C2494" s="12" t="s">
        <v>2753</v>
      </c>
      <c r="D2494" s="55"/>
      <c r="E2494" s="39" t="str">
        <f>HYPERLINK("https://www.google.ru/search?q=6010887-001&amp;newwindow=1&amp;tbm=isch","Еще фото")</f>
        <v>Еще фото</v>
      </c>
      <c r="F2494" s="13" t="s">
        <v>98</v>
      </c>
      <c r="G2494" s="24" t="s">
        <v>2189</v>
      </c>
      <c r="H2494" s="24" t="s">
        <v>27</v>
      </c>
      <c r="I2494" s="24" t="s">
        <v>2190</v>
      </c>
      <c r="J2494" s="14" t="s">
        <v>29</v>
      </c>
      <c r="K2494" s="15" t="s">
        <v>30</v>
      </c>
      <c r="L2494" s="58"/>
      <c r="M2494" s="14"/>
      <c r="N2494" s="14" t="s">
        <v>33</v>
      </c>
      <c r="O2494" s="14"/>
      <c r="P2494" s="15" t="s">
        <v>133</v>
      </c>
      <c r="Q2494" s="16">
        <v>6699</v>
      </c>
      <c r="R2494" s="17">
        <v>40</v>
      </c>
      <c r="S2494" s="18">
        <v>4622.3099999999995</v>
      </c>
      <c r="T2494" s="19" t="s">
        <v>36</v>
      </c>
      <c r="U2494" s="20" t="s">
        <v>104</v>
      </c>
      <c r="V2494" s="21" t="s">
        <v>105</v>
      </c>
      <c r="W2494" s="22">
        <v>3</v>
      </c>
      <c r="X2494" s="23"/>
    </row>
    <row r="2495" spans="1:24" s="1" customFormat="1" ht="51.95" customHeight="1" x14ac:dyDescent="0.3">
      <c r="A2495" s="11" t="s">
        <v>23</v>
      </c>
      <c r="B2495" s="11" t="s">
        <v>2755</v>
      </c>
      <c r="C2495" s="12" t="s">
        <v>2756</v>
      </c>
      <c r="D2495" s="59"/>
      <c r="E2495" s="39" t="str">
        <f>HYPERLINK("https://www.google.ru/search?q=6010892-001&amp;newwindow=1&amp;tbm=isch","Еще фото")</f>
        <v>Еще фото</v>
      </c>
      <c r="F2495" s="13"/>
      <c r="G2495" s="11" t="s">
        <v>2189</v>
      </c>
      <c r="H2495" s="11" t="s">
        <v>27</v>
      </c>
      <c r="I2495" s="14" t="s">
        <v>2190</v>
      </c>
      <c r="J2495" s="14" t="s">
        <v>212</v>
      </c>
      <c r="K2495" s="15" t="s">
        <v>30</v>
      </c>
      <c r="L2495" s="56" t="s">
        <v>2757</v>
      </c>
      <c r="M2495" s="14"/>
      <c r="N2495" s="14" t="s">
        <v>33</v>
      </c>
      <c r="O2495" s="14"/>
      <c r="P2495" s="15" t="s">
        <v>2758</v>
      </c>
      <c r="Q2495" s="16">
        <v>6499</v>
      </c>
      <c r="R2495" s="17">
        <v>40</v>
      </c>
      <c r="S2495" s="18">
        <v>4484.3099999999995</v>
      </c>
      <c r="T2495" s="19" t="s">
        <v>36</v>
      </c>
      <c r="U2495" s="20" t="s">
        <v>37</v>
      </c>
      <c r="V2495" s="21" t="s">
        <v>38</v>
      </c>
      <c r="W2495" s="22">
        <v>1</v>
      </c>
      <c r="X2495" s="23"/>
    </row>
    <row r="2496" spans="1:24" s="1" customFormat="1" ht="60.95" customHeight="1" x14ac:dyDescent="0.3">
      <c r="A2496" s="24" t="s">
        <v>23</v>
      </c>
      <c r="B2496" s="24" t="s">
        <v>2755</v>
      </c>
      <c r="C2496" s="12" t="s">
        <v>2756</v>
      </c>
      <c r="D2496" s="60"/>
      <c r="E2496" s="39" t="str">
        <f>HYPERLINK("https://www.google.ru/search?q=6010892-001&amp;newwindow=1&amp;tbm=isch","Еще фото")</f>
        <v>Еще фото</v>
      </c>
      <c r="F2496" s="13"/>
      <c r="G2496" s="24" t="s">
        <v>2189</v>
      </c>
      <c r="H2496" s="24" t="s">
        <v>27</v>
      </c>
      <c r="I2496" s="24" t="s">
        <v>2190</v>
      </c>
      <c r="J2496" s="14" t="s">
        <v>212</v>
      </c>
      <c r="K2496" s="15" t="s">
        <v>30</v>
      </c>
      <c r="L2496" s="58"/>
      <c r="M2496" s="14"/>
      <c r="N2496" s="14" t="s">
        <v>33</v>
      </c>
      <c r="O2496" s="14"/>
      <c r="P2496" s="15" t="s">
        <v>2758</v>
      </c>
      <c r="Q2496" s="16">
        <v>6499</v>
      </c>
      <c r="R2496" s="17">
        <v>40</v>
      </c>
      <c r="S2496" s="18">
        <v>4484.3099999999995</v>
      </c>
      <c r="T2496" s="19" t="s">
        <v>36</v>
      </c>
      <c r="U2496" s="20" t="s">
        <v>43</v>
      </c>
      <c r="V2496" s="21" t="s">
        <v>44</v>
      </c>
      <c r="W2496" s="22">
        <v>2</v>
      </c>
      <c r="X2496" s="23"/>
    </row>
    <row r="2497" spans="1:24" s="1" customFormat="1" ht="26.1" customHeight="1" x14ac:dyDescent="0.3">
      <c r="A2497" s="11" t="s">
        <v>23</v>
      </c>
      <c r="B2497" s="11" t="s">
        <v>2759</v>
      </c>
      <c r="C2497" s="12" t="s">
        <v>2760</v>
      </c>
      <c r="D2497" s="53"/>
      <c r="E2497" s="39" t="str">
        <f>HYPERLINK("https://www.google.ru/search?q=6010983-001&amp;newwindow=1&amp;tbm=isch","Еще фото")</f>
        <v>Еще фото</v>
      </c>
      <c r="F2497" s="13" t="s">
        <v>98</v>
      </c>
      <c r="G2497" s="11" t="s">
        <v>2407</v>
      </c>
      <c r="H2497" s="11" t="s">
        <v>27</v>
      </c>
      <c r="I2497" s="14" t="s">
        <v>2190</v>
      </c>
      <c r="J2497" s="14" t="s">
        <v>47</v>
      </c>
      <c r="K2497" s="15" t="s">
        <v>30</v>
      </c>
      <c r="L2497" s="56" t="s">
        <v>2761</v>
      </c>
      <c r="M2497" s="14"/>
      <c r="N2497" s="14" t="s">
        <v>33</v>
      </c>
      <c r="O2497" s="14"/>
      <c r="P2497" s="15" t="s">
        <v>2762</v>
      </c>
      <c r="Q2497" s="16">
        <v>15999</v>
      </c>
      <c r="R2497" s="17">
        <v>40</v>
      </c>
      <c r="S2497" s="18">
        <v>11039.31</v>
      </c>
      <c r="T2497" s="19" t="s">
        <v>36</v>
      </c>
      <c r="U2497" s="20" t="s">
        <v>37</v>
      </c>
      <c r="V2497" s="21" t="s">
        <v>38</v>
      </c>
      <c r="W2497" s="22">
        <v>12</v>
      </c>
      <c r="X2497" s="23"/>
    </row>
    <row r="2498" spans="1:24" s="1" customFormat="1" ht="26.1" customHeight="1" x14ac:dyDescent="0.3">
      <c r="A2498" s="24" t="s">
        <v>23</v>
      </c>
      <c r="B2498" s="24" t="s">
        <v>2759</v>
      </c>
      <c r="C2498" s="12" t="s">
        <v>2760</v>
      </c>
      <c r="D2498" s="54"/>
      <c r="E2498" s="39" t="str">
        <f>HYPERLINK("https://www.google.ru/search?q=6010983-001&amp;newwindow=1&amp;tbm=isch","Еще фото")</f>
        <v>Еще фото</v>
      </c>
      <c r="F2498" s="13" t="s">
        <v>98</v>
      </c>
      <c r="G2498" s="24" t="s">
        <v>2407</v>
      </c>
      <c r="H2498" s="24" t="s">
        <v>27</v>
      </c>
      <c r="I2498" s="24" t="s">
        <v>2190</v>
      </c>
      <c r="J2498" s="14" t="s">
        <v>47</v>
      </c>
      <c r="K2498" s="15" t="s">
        <v>30</v>
      </c>
      <c r="L2498" s="57"/>
      <c r="M2498" s="14"/>
      <c r="N2498" s="14" t="s">
        <v>33</v>
      </c>
      <c r="O2498" s="14"/>
      <c r="P2498" s="15" t="s">
        <v>2762</v>
      </c>
      <c r="Q2498" s="16">
        <v>15999</v>
      </c>
      <c r="R2498" s="17">
        <v>40</v>
      </c>
      <c r="S2498" s="18">
        <v>11039.31</v>
      </c>
      <c r="T2498" s="19" t="s">
        <v>36</v>
      </c>
      <c r="U2498" s="20" t="s">
        <v>39</v>
      </c>
      <c r="V2498" s="21" t="s">
        <v>40</v>
      </c>
      <c r="W2498" s="22">
        <v>21</v>
      </c>
      <c r="X2498" s="23"/>
    </row>
    <row r="2499" spans="1:24" s="1" customFormat="1" ht="26.1" customHeight="1" x14ac:dyDescent="0.3">
      <c r="A2499" s="24" t="s">
        <v>23</v>
      </c>
      <c r="B2499" s="24" t="s">
        <v>2759</v>
      </c>
      <c r="C2499" s="12" t="s">
        <v>2760</v>
      </c>
      <c r="D2499" s="54"/>
      <c r="E2499" s="39" t="str">
        <f>HYPERLINK("https://www.google.ru/search?q=6010983-001&amp;newwindow=1&amp;tbm=isch","Еще фото")</f>
        <v>Еще фото</v>
      </c>
      <c r="F2499" s="13" t="s">
        <v>98</v>
      </c>
      <c r="G2499" s="24" t="s">
        <v>2407</v>
      </c>
      <c r="H2499" s="24" t="s">
        <v>27</v>
      </c>
      <c r="I2499" s="24" t="s">
        <v>2190</v>
      </c>
      <c r="J2499" s="14" t="s">
        <v>47</v>
      </c>
      <c r="K2499" s="15" t="s">
        <v>30</v>
      </c>
      <c r="L2499" s="57"/>
      <c r="M2499" s="14"/>
      <c r="N2499" s="14" t="s">
        <v>33</v>
      </c>
      <c r="O2499" s="14"/>
      <c r="P2499" s="15" t="s">
        <v>2762</v>
      </c>
      <c r="Q2499" s="16">
        <v>15999</v>
      </c>
      <c r="R2499" s="17">
        <v>40</v>
      </c>
      <c r="S2499" s="18">
        <v>11039.31</v>
      </c>
      <c r="T2499" s="19" t="s">
        <v>36</v>
      </c>
      <c r="U2499" s="20" t="s">
        <v>41</v>
      </c>
      <c r="V2499" s="21" t="s">
        <v>42</v>
      </c>
      <c r="W2499" s="22">
        <v>25</v>
      </c>
      <c r="X2499" s="23"/>
    </row>
    <row r="2500" spans="1:24" s="1" customFormat="1" ht="26.1" customHeight="1" x14ac:dyDescent="0.3">
      <c r="A2500" s="24" t="s">
        <v>23</v>
      </c>
      <c r="B2500" s="24" t="s">
        <v>2759</v>
      </c>
      <c r="C2500" s="12" t="s">
        <v>2760</v>
      </c>
      <c r="D2500" s="55"/>
      <c r="E2500" s="39" t="str">
        <f>HYPERLINK("https://www.google.ru/search?q=6010983-001&amp;newwindow=1&amp;tbm=isch","Еще фото")</f>
        <v>Еще фото</v>
      </c>
      <c r="F2500" s="13" t="s">
        <v>98</v>
      </c>
      <c r="G2500" s="24" t="s">
        <v>2407</v>
      </c>
      <c r="H2500" s="24" t="s">
        <v>27</v>
      </c>
      <c r="I2500" s="24" t="s">
        <v>2190</v>
      </c>
      <c r="J2500" s="14" t="s">
        <v>47</v>
      </c>
      <c r="K2500" s="15" t="s">
        <v>30</v>
      </c>
      <c r="L2500" s="58"/>
      <c r="M2500" s="14"/>
      <c r="N2500" s="14" t="s">
        <v>33</v>
      </c>
      <c r="O2500" s="14"/>
      <c r="P2500" s="15" t="s">
        <v>2762</v>
      </c>
      <c r="Q2500" s="16">
        <v>15999</v>
      </c>
      <c r="R2500" s="17">
        <v>40</v>
      </c>
      <c r="S2500" s="18">
        <v>11039.31</v>
      </c>
      <c r="T2500" s="19" t="s">
        <v>36</v>
      </c>
      <c r="U2500" s="20" t="s">
        <v>43</v>
      </c>
      <c r="V2500" s="21" t="s">
        <v>44</v>
      </c>
      <c r="W2500" s="22">
        <v>13</v>
      </c>
      <c r="X2500" s="23"/>
    </row>
    <row r="2501" spans="1:24" s="1" customFormat="1" ht="26.1" customHeight="1" x14ac:dyDescent="0.3">
      <c r="A2501" s="11" t="s">
        <v>23</v>
      </c>
      <c r="B2501" s="11" t="s">
        <v>2763</v>
      </c>
      <c r="C2501" s="12" t="s">
        <v>2764</v>
      </c>
      <c r="D2501" s="53"/>
      <c r="E2501" s="39" t="str">
        <f>HYPERLINK("https://www.google.ru/search?q=6011267-025&amp;newwindow=1&amp;tbm=isch","Еще фото")</f>
        <v>Еще фото</v>
      </c>
      <c r="F2501" s="13"/>
      <c r="G2501" s="11" t="s">
        <v>2202</v>
      </c>
      <c r="H2501" s="11" t="s">
        <v>27</v>
      </c>
      <c r="I2501" s="14" t="s">
        <v>2190</v>
      </c>
      <c r="J2501" s="14" t="s">
        <v>29</v>
      </c>
      <c r="K2501" s="15" t="s">
        <v>30</v>
      </c>
      <c r="L2501" s="56"/>
      <c r="M2501" s="14"/>
      <c r="N2501" s="14" t="s">
        <v>84</v>
      </c>
      <c r="O2501" s="14"/>
      <c r="P2501" s="15" t="s">
        <v>51</v>
      </c>
      <c r="Q2501" s="16">
        <v>8699</v>
      </c>
      <c r="R2501" s="17">
        <v>40</v>
      </c>
      <c r="S2501" s="18">
        <v>6002.3099999999995</v>
      </c>
      <c r="T2501" s="19" t="s">
        <v>36</v>
      </c>
      <c r="U2501" s="20" t="s">
        <v>37</v>
      </c>
      <c r="V2501" s="21" t="s">
        <v>38</v>
      </c>
      <c r="W2501" s="22">
        <v>6</v>
      </c>
      <c r="X2501" s="23"/>
    </row>
    <row r="2502" spans="1:24" s="1" customFormat="1" ht="26.1" customHeight="1" x14ac:dyDescent="0.3">
      <c r="A2502" s="24" t="s">
        <v>23</v>
      </c>
      <c r="B2502" s="24" t="s">
        <v>2763</v>
      </c>
      <c r="C2502" s="12" t="s">
        <v>2764</v>
      </c>
      <c r="D2502" s="54"/>
      <c r="E2502" s="39" t="str">
        <f>HYPERLINK("https://www.google.ru/search?q=6011267-025&amp;newwindow=1&amp;tbm=isch","Еще фото")</f>
        <v>Еще фото</v>
      </c>
      <c r="F2502" s="13"/>
      <c r="G2502" s="24" t="s">
        <v>2202</v>
      </c>
      <c r="H2502" s="24" t="s">
        <v>27</v>
      </c>
      <c r="I2502" s="24" t="s">
        <v>2190</v>
      </c>
      <c r="J2502" s="14" t="s">
        <v>29</v>
      </c>
      <c r="K2502" s="15" t="s">
        <v>30</v>
      </c>
      <c r="L2502" s="57"/>
      <c r="M2502" s="14"/>
      <c r="N2502" s="14" t="s">
        <v>84</v>
      </c>
      <c r="O2502" s="14"/>
      <c r="P2502" s="15" t="s">
        <v>51</v>
      </c>
      <c r="Q2502" s="16">
        <v>8699</v>
      </c>
      <c r="R2502" s="17">
        <v>40</v>
      </c>
      <c r="S2502" s="18">
        <v>6002.3099999999995</v>
      </c>
      <c r="T2502" s="19" t="s">
        <v>36</v>
      </c>
      <c r="U2502" s="20" t="s">
        <v>39</v>
      </c>
      <c r="V2502" s="21" t="s">
        <v>40</v>
      </c>
      <c r="W2502" s="22">
        <v>1</v>
      </c>
      <c r="X2502" s="23"/>
    </row>
    <row r="2503" spans="1:24" s="1" customFormat="1" ht="26.1" customHeight="1" x14ac:dyDescent="0.3">
      <c r="A2503" s="24" t="s">
        <v>23</v>
      </c>
      <c r="B2503" s="24" t="s">
        <v>2763</v>
      </c>
      <c r="C2503" s="12" t="s">
        <v>2764</v>
      </c>
      <c r="D2503" s="54"/>
      <c r="E2503" s="39" t="str">
        <f>HYPERLINK("https://www.google.ru/search?q=6011267-025&amp;newwindow=1&amp;tbm=isch","Еще фото")</f>
        <v>Еще фото</v>
      </c>
      <c r="F2503" s="13"/>
      <c r="G2503" s="24" t="s">
        <v>2202</v>
      </c>
      <c r="H2503" s="24" t="s">
        <v>27</v>
      </c>
      <c r="I2503" s="24" t="s">
        <v>2190</v>
      </c>
      <c r="J2503" s="14" t="s">
        <v>29</v>
      </c>
      <c r="K2503" s="15" t="s">
        <v>30</v>
      </c>
      <c r="L2503" s="57"/>
      <c r="M2503" s="14"/>
      <c r="N2503" s="14" t="s">
        <v>84</v>
      </c>
      <c r="O2503" s="14"/>
      <c r="P2503" s="15" t="s">
        <v>51</v>
      </c>
      <c r="Q2503" s="16">
        <v>8699</v>
      </c>
      <c r="R2503" s="17">
        <v>40</v>
      </c>
      <c r="S2503" s="18">
        <v>6002.3099999999995</v>
      </c>
      <c r="T2503" s="19" t="s">
        <v>36</v>
      </c>
      <c r="U2503" s="20" t="s">
        <v>41</v>
      </c>
      <c r="V2503" s="21" t="s">
        <v>42</v>
      </c>
      <c r="W2503" s="22">
        <v>3</v>
      </c>
      <c r="X2503" s="23"/>
    </row>
    <row r="2504" spans="1:24" s="1" customFormat="1" ht="26.1" customHeight="1" x14ac:dyDescent="0.3">
      <c r="A2504" s="24" t="s">
        <v>23</v>
      </c>
      <c r="B2504" s="24" t="s">
        <v>2763</v>
      </c>
      <c r="C2504" s="12" t="s">
        <v>2764</v>
      </c>
      <c r="D2504" s="55"/>
      <c r="E2504" s="39" t="str">
        <f>HYPERLINK("https://www.google.ru/search?q=6011267-025&amp;newwindow=1&amp;tbm=isch","Еще фото")</f>
        <v>Еще фото</v>
      </c>
      <c r="F2504" s="13"/>
      <c r="G2504" s="24" t="s">
        <v>2202</v>
      </c>
      <c r="H2504" s="24" t="s">
        <v>27</v>
      </c>
      <c r="I2504" s="24" t="s">
        <v>2190</v>
      </c>
      <c r="J2504" s="14" t="s">
        <v>29</v>
      </c>
      <c r="K2504" s="15" t="s">
        <v>30</v>
      </c>
      <c r="L2504" s="58"/>
      <c r="M2504" s="14"/>
      <c r="N2504" s="14" t="s">
        <v>84</v>
      </c>
      <c r="O2504" s="14"/>
      <c r="P2504" s="15" t="s">
        <v>51</v>
      </c>
      <c r="Q2504" s="16">
        <v>8699</v>
      </c>
      <c r="R2504" s="17">
        <v>40</v>
      </c>
      <c r="S2504" s="18">
        <v>6002.3099999999995</v>
      </c>
      <c r="T2504" s="19" t="s">
        <v>36</v>
      </c>
      <c r="U2504" s="20" t="s">
        <v>43</v>
      </c>
      <c r="V2504" s="21" t="s">
        <v>44</v>
      </c>
      <c r="W2504" s="22">
        <v>1</v>
      </c>
      <c r="X2504" s="23"/>
    </row>
    <row r="2505" spans="1:24" s="1" customFormat="1" ht="108" customHeight="1" x14ac:dyDescent="0.3">
      <c r="A2505" s="11" t="s">
        <v>23</v>
      </c>
      <c r="B2505" s="11" t="s">
        <v>2763</v>
      </c>
      <c r="C2505" s="12" t="s">
        <v>2765</v>
      </c>
      <c r="D2505" s="25"/>
      <c r="E2505" s="39" t="str">
        <f>HYPERLINK("https://www.google.ru/search?q=6011267-408&amp;newwindow=1&amp;tbm=isch","Еще фото")</f>
        <v>Еще фото</v>
      </c>
      <c r="F2505" s="13"/>
      <c r="G2505" s="11" t="s">
        <v>2202</v>
      </c>
      <c r="H2505" s="11" t="s">
        <v>27</v>
      </c>
      <c r="I2505" s="14" t="s">
        <v>2190</v>
      </c>
      <c r="J2505" s="14" t="s">
        <v>29</v>
      </c>
      <c r="K2505" s="15" t="s">
        <v>30</v>
      </c>
      <c r="L2505" s="14" t="s">
        <v>2766</v>
      </c>
      <c r="M2505" s="14"/>
      <c r="N2505" s="14" t="s">
        <v>91</v>
      </c>
      <c r="O2505" s="14"/>
      <c r="P2505" s="15" t="s">
        <v>51</v>
      </c>
      <c r="Q2505" s="16">
        <v>8699</v>
      </c>
      <c r="R2505" s="17">
        <v>40</v>
      </c>
      <c r="S2505" s="18">
        <v>6002.3099999999995</v>
      </c>
      <c r="T2505" s="19" t="s">
        <v>36</v>
      </c>
      <c r="U2505" s="20" t="s">
        <v>39</v>
      </c>
      <c r="V2505" s="21" t="s">
        <v>40</v>
      </c>
      <c r="W2505" s="22">
        <v>10</v>
      </c>
      <c r="X2505" s="23"/>
    </row>
    <row r="2506" spans="1:24" s="1" customFormat="1" ht="26.1" customHeight="1" x14ac:dyDescent="0.3">
      <c r="A2506" s="11" t="s">
        <v>23</v>
      </c>
      <c r="B2506" s="11" t="s">
        <v>2767</v>
      </c>
      <c r="C2506" s="12" t="s">
        <v>2768</v>
      </c>
      <c r="D2506" s="53"/>
      <c r="E2506" s="39" t="str">
        <f>HYPERLINK("https://www.google.ru/search?q=6011279-001&amp;newwindow=1&amp;tbm=isch","Еще фото")</f>
        <v>Еще фото</v>
      </c>
      <c r="F2506" s="13" t="s">
        <v>98</v>
      </c>
      <c r="G2506" s="11" t="s">
        <v>2189</v>
      </c>
      <c r="H2506" s="11" t="s">
        <v>27</v>
      </c>
      <c r="I2506" s="14" t="s">
        <v>2190</v>
      </c>
      <c r="J2506" s="14" t="s">
        <v>212</v>
      </c>
      <c r="K2506" s="15" t="s">
        <v>64</v>
      </c>
      <c r="L2506" s="56" t="s">
        <v>2769</v>
      </c>
      <c r="M2506" s="14"/>
      <c r="N2506" s="14" t="s">
        <v>33</v>
      </c>
      <c r="O2506" s="14"/>
      <c r="P2506" s="15" t="s">
        <v>2744</v>
      </c>
      <c r="Q2506" s="16">
        <v>9999</v>
      </c>
      <c r="R2506" s="17">
        <v>40</v>
      </c>
      <c r="S2506" s="18">
        <v>6899.3099999999995</v>
      </c>
      <c r="T2506" s="19" t="s">
        <v>36</v>
      </c>
      <c r="U2506" s="20" t="s">
        <v>69</v>
      </c>
      <c r="V2506" s="21" t="s">
        <v>70</v>
      </c>
      <c r="W2506" s="22">
        <v>6</v>
      </c>
      <c r="X2506" s="23"/>
    </row>
    <row r="2507" spans="1:24" s="1" customFormat="1" ht="26.1" customHeight="1" x14ac:dyDescent="0.3">
      <c r="A2507" s="24" t="s">
        <v>23</v>
      </c>
      <c r="B2507" s="24" t="s">
        <v>2767</v>
      </c>
      <c r="C2507" s="12" t="s">
        <v>2768</v>
      </c>
      <c r="D2507" s="54"/>
      <c r="E2507" s="39" t="str">
        <f>HYPERLINK("https://www.google.ru/search?q=6011279-001&amp;newwindow=1&amp;tbm=isch","Еще фото")</f>
        <v>Еще фото</v>
      </c>
      <c r="F2507" s="13" t="s">
        <v>98</v>
      </c>
      <c r="G2507" s="24" t="s">
        <v>2189</v>
      </c>
      <c r="H2507" s="24" t="s">
        <v>27</v>
      </c>
      <c r="I2507" s="24" t="s">
        <v>2190</v>
      </c>
      <c r="J2507" s="14" t="s">
        <v>212</v>
      </c>
      <c r="K2507" s="15" t="s">
        <v>64</v>
      </c>
      <c r="L2507" s="57"/>
      <c r="M2507" s="14"/>
      <c r="N2507" s="14" t="s">
        <v>33</v>
      </c>
      <c r="O2507" s="14"/>
      <c r="P2507" s="15" t="s">
        <v>2744</v>
      </c>
      <c r="Q2507" s="16">
        <v>9999</v>
      </c>
      <c r="R2507" s="17">
        <v>40</v>
      </c>
      <c r="S2507" s="18">
        <v>6899.3099999999995</v>
      </c>
      <c r="T2507" s="19" t="s">
        <v>36</v>
      </c>
      <c r="U2507" s="20" t="s">
        <v>37</v>
      </c>
      <c r="V2507" s="21" t="s">
        <v>86</v>
      </c>
      <c r="W2507" s="22">
        <v>10</v>
      </c>
      <c r="X2507" s="23"/>
    </row>
    <row r="2508" spans="1:24" s="1" customFormat="1" ht="26.1" customHeight="1" x14ac:dyDescent="0.3">
      <c r="A2508" s="24" t="s">
        <v>23</v>
      </c>
      <c r="B2508" s="24" t="s">
        <v>2767</v>
      </c>
      <c r="C2508" s="12" t="s">
        <v>2768</v>
      </c>
      <c r="D2508" s="54"/>
      <c r="E2508" s="39" t="str">
        <f>HYPERLINK("https://www.google.ru/search?q=6011279-001&amp;newwindow=1&amp;tbm=isch","Еще фото")</f>
        <v>Еще фото</v>
      </c>
      <c r="F2508" s="13" t="s">
        <v>98</v>
      </c>
      <c r="G2508" s="24" t="s">
        <v>2189</v>
      </c>
      <c r="H2508" s="24" t="s">
        <v>27</v>
      </c>
      <c r="I2508" s="24" t="s">
        <v>2190</v>
      </c>
      <c r="J2508" s="14" t="s">
        <v>212</v>
      </c>
      <c r="K2508" s="15" t="s">
        <v>64</v>
      </c>
      <c r="L2508" s="57"/>
      <c r="M2508" s="14"/>
      <c r="N2508" s="14" t="s">
        <v>33</v>
      </c>
      <c r="O2508" s="14"/>
      <c r="P2508" s="15" t="s">
        <v>2744</v>
      </c>
      <c r="Q2508" s="16">
        <v>9999</v>
      </c>
      <c r="R2508" s="17">
        <v>40</v>
      </c>
      <c r="S2508" s="18">
        <v>6899.3099999999995</v>
      </c>
      <c r="T2508" s="19" t="s">
        <v>36</v>
      </c>
      <c r="U2508" s="20" t="s">
        <v>39</v>
      </c>
      <c r="V2508" s="21" t="s">
        <v>38</v>
      </c>
      <c r="W2508" s="22">
        <v>4</v>
      </c>
      <c r="X2508" s="23"/>
    </row>
    <row r="2509" spans="1:24" s="1" customFormat="1" ht="26.1" customHeight="1" x14ac:dyDescent="0.3">
      <c r="A2509" s="24" t="s">
        <v>23</v>
      </c>
      <c r="B2509" s="24" t="s">
        <v>2767</v>
      </c>
      <c r="C2509" s="12" t="s">
        <v>2768</v>
      </c>
      <c r="D2509" s="55"/>
      <c r="E2509" s="39" t="str">
        <f>HYPERLINK("https://www.google.ru/search?q=6011279-001&amp;newwindow=1&amp;tbm=isch","Еще фото")</f>
        <v>Еще фото</v>
      </c>
      <c r="F2509" s="13" t="s">
        <v>98</v>
      </c>
      <c r="G2509" s="24" t="s">
        <v>2189</v>
      </c>
      <c r="H2509" s="24" t="s">
        <v>27</v>
      </c>
      <c r="I2509" s="24" t="s">
        <v>2190</v>
      </c>
      <c r="J2509" s="14" t="s">
        <v>212</v>
      </c>
      <c r="K2509" s="15" t="s">
        <v>64</v>
      </c>
      <c r="L2509" s="58"/>
      <c r="M2509" s="14"/>
      <c r="N2509" s="14" t="s">
        <v>33</v>
      </c>
      <c r="O2509" s="14"/>
      <c r="P2509" s="15" t="s">
        <v>2744</v>
      </c>
      <c r="Q2509" s="16">
        <v>9999</v>
      </c>
      <c r="R2509" s="17">
        <v>40</v>
      </c>
      <c r="S2509" s="18">
        <v>6899.3099999999995</v>
      </c>
      <c r="T2509" s="19" t="s">
        <v>36</v>
      </c>
      <c r="U2509" s="20" t="s">
        <v>41</v>
      </c>
      <c r="V2509" s="21" t="s">
        <v>40</v>
      </c>
      <c r="W2509" s="22">
        <v>8</v>
      </c>
      <c r="X2509" s="23"/>
    </row>
    <row r="2510" spans="1:24" s="1" customFormat="1" ht="51.95" customHeight="1" x14ac:dyDescent="0.3">
      <c r="A2510" s="11" t="s">
        <v>23</v>
      </c>
      <c r="B2510" s="11" t="s">
        <v>2770</v>
      </c>
      <c r="C2510" s="12" t="s">
        <v>2771</v>
      </c>
      <c r="D2510" s="59"/>
      <c r="E2510" s="39" t="str">
        <f>HYPERLINK("https://www.google.ru/search?q=6012292-011&amp;newwindow=1&amp;tbm=isch","Еще фото")</f>
        <v>Еще фото</v>
      </c>
      <c r="F2510" s="13"/>
      <c r="G2510" s="11" t="s">
        <v>2189</v>
      </c>
      <c r="H2510" s="11" t="s">
        <v>27</v>
      </c>
      <c r="I2510" s="14" t="s">
        <v>2190</v>
      </c>
      <c r="J2510" s="14" t="s">
        <v>47</v>
      </c>
      <c r="K2510" s="15" t="s">
        <v>64</v>
      </c>
      <c r="L2510" s="56" t="s">
        <v>2772</v>
      </c>
      <c r="M2510" s="14"/>
      <c r="N2510" s="14" t="s">
        <v>84</v>
      </c>
      <c r="O2510" s="14"/>
      <c r="P2510" s="15" t="s">
        <v>113</v>
      </c>
      <c r="Q2510" s="16">
        <v>5799</v>
      </c>
      <c r="R2510" s="17">
        <v>40</v>
      </c>
      <c r="S2510" s="18">
        <v>4001.31</v>
      </c>
      <c r="T2510" s="19" t="s">
        <v>36</v>
      </c>
      <c r="U2510" s="20" t="s">
        <v>69</v>
      </c>
      <c r="V2510" s="21" t="s">
        <v>70</v>
      </c>
      <c r="W2510" s="22">
        <v>3</v>
      </c>
      <c r="X2510" s="23"/>
    </row>
    <row r="2511" spans="1:24" s="1" customFormat="1" ht="60.95" customHeight="1" x14ac:dyDescent="0.3">
      <c r="A2511" s="24" t="s">
        <v>23</v>
      </c>
      <c r="B2511" s="24" t="s">
        <v>2770</v>
      </c>
      <c r="C2511" s="12" t="s">
        <v>2771</v>
      </c>
      <c r="D2511" s="60"/>
      <c r="E2511" s="39" t="str">
        <f>HYPERLINK("https://www.google.ru/search?q=6012292-011&amp;newwindow=1&amp;tbm=isch","Еще фото")</f>
        <v>Еще фото</v>
      </c>
      <c r="F2511" s="13"/>
      <c r="G2511" s="24" t="s">
        <v>2189</v>
      </c>
      <c r="H2511" s="24" t="s">
        <v>27</v>
      </c>
      <c r="I2511" s="24" t="s">
        <v>2190</v>
      </c>
      <c r="J2511" s="14" t="s">
        <v>47</v>
      </c>
      <c r="K2511" s="15" t="s">
        <v>64</v>
      </c>
      <c r="L2511" s="58"/>
      <c r="M2511" s="14"/>
      <c r="N2511" s="14" t="s">
        <v>84</v>
      </c>
      <c r="O2511" s="14"/>
      <c r="P2511" s="15" t="s">
        <v>113</v>
      </c>
      <c r="Q2511" s="16">
        <v>5799</v>
      </c>
      <c r="R2511" s="17">
        <v>40</v>
      </c>
      <c r="S2511" s="18">
        <v>4001.31</v>
      </c>
      <c r="T2511" s="19" t="s">
        <v>36</v>
      </c>
      <c r="U2511" s="20" t="s">
        <v>41</v>
      </c>
      <c r="V2511" s="21" t="s">
        <v>40</v>
      </c>
      <c r="W2511" s="22">
        <v>6</v>
      </c>
      <c r="X2511" s="23"/>
    </row>
    <row r="2512" spans="1:24" s="1" customFormat="1" ht="35.1" customHeight="1" x14ac:dyDescent="0.3">
      <c r="A2512" s="11" t="s">
        <v>23</v>
      </c>
      <c r="B2512" s="11" t="s">
        <v>2327</v>
      </c>
      <c r="C2512" s="12" t="s">
        <v>2773</v>
      </c>
      <c r="D2512" s="53"/>
      <c r="E2512" s="39" t="str">
        <f>HYPERLINK("https://www.google.ru/search?q=6012335-001&amp;newwindow=1&amp;tbm=isch","Еще фото")</f>
        <v>Еще фото</v>
      </c>
      <c r="F2512" s="13"/>
      <c r="G2512" s="11" t="s">
        <v>2198</v>
      </c>
      <c r="H2512" s="11" t="s">
        <v>27</v>
      </c>
      <c r="I2512" s="14" t="s">
        <v>2190</v>
      </c>
      <c r="J2512" s="14" t="s">
        <v>47</v>
      </c>
      <c r="K2512" s="15" t="s">
        <v>30</v>
      </c>
      <c r="L2512" s="56" t="s">
        <v>2329</v>
      </c>
      <c r="M2512" s="14"/>
      <c r="N2512" s="14" t="s">
        <v>33</v>
      </c>
      <c r="O2512" s="14"/>
      <c r="P2512" s="15" t="s">
        <v>385</v>
      </c>
      <c r="Q2512" s="16">
        <v>10099</v>
      </c>
      <c r="R2512" s="17">
        <v>40</v>
      </c>
      <c r="S2512" s="18">
        <v>6968.3099999999995</v>
      </c>
      <c r="T2512" s="19" t="s">
        <v>36</v>
      </c>
      <c r="U2512" s="20" t="s">
        <v>39</v>
      </c>
      <c r="V2512" s="21" t="s">
        <v>40</v>
      </c>
      <c r="W2512" s="22">
        <v>7</v>
      </c>
      <c r="X2512" s="23"/>
    </row>
    <row r="2513" spans="1:24" s="1" customFormat="1" ht="35.1" customHeight="1" x14ac:dyDescent="0.3">
      <c r="A2513" s="24" t="s">
        <v>23</v>
      </c>
      <c r="B2513" s="24" t="s">
        <v>2327</v>
      </c>
      <c r="C2513" s="12" t="s">
        <v>2773</v>
      </c>
      <c r="D2513" s="54"/>
      <c r="E2513" s="39" t="str">
        <f>HYPERLINK("https://www.google.ru/search?q=6012335-001&amp;newwindow=1&amp;tbm=isch","Еще фото")</f>
        <v>Еще фото</v>
      </c>
      <c r="F2513" s="13"/>
      <c r="G2513" s="24" t="s">
        <v>2198</v>
      </c>
      <c r="H2513" s="24" t="s">
        <v>27</v>
      </c>
      <c r="I2513" s="24" t="s">
        <v>2190</v>
      </c>
      <c r="J2513" s="14" t="s">
        <v>47</v>
      </c>
      <c r="K2513" s="15" t="s">
        <v>30</v>
      </c>
      <c r="L2513" s="57"/>
      <c r="M2513" s="14"/>
      <c r="N2513" s="14" t="s">
        <v>33</v>
      </c>
      <c r="O2513" s="14"/>
      <c r="P2513" s="15" t="s">
        <v>385</v>
      </c>
      <c r="Q2513" s="16">
        <v>10099</v>
      </c>
      <c r="R2513" s="17">
        <v>40</v>
      </c>
      <c r="S2513" s="18">
        <v>6968.3099999999995</v>
      </c>
      <c r="T2513" s="19" t="s">
        <v>36</v>
      </c>
      <c r="U2513" s="20" t="s">
        <v>41</v>
      </c>
      <c r="V2513" s="21" t="s">
        <v>42</v>
      </c>
      <c r="W2513" s="22">
        <v>6</v>
      </c>
      <c r="X2513" s="23"/>
    </row>
    <row r="2514" spans="1:24" s="1" customFormat="1" ht="36.950000000000003" customHeight="1" x14ac:dyDescent="0.3">
      <c r="A2514" s="24" t="s">
        <v>23</v>
      </c>
      <c r="B2514" s="24" t="s">
        <v>2327</v>
      </c>
      <c r="C2514" s="12" t="s">
        <v>2773</v>
      </c>
      <c r="D2514" s="55"/>
      <c r="E2514" s="39" t="str">
        <f>HYPERLINK("https://www.google.ru/search?q=6012335-001&amp;newwindow=1&amp;tbm=isch","Еще фото")</f>
        <v>Еще фото</v>
      </c>
      <c r="F2514" s="13"/>
      <c r="G2514" s="24" t="s">
        <v>2198</v>
      </c>
      <c r="H2514" s="24" t="s">
        <v>27</v>
      </c>
      <c r="I2514" s="24" t="s">
        <v>2190</v>
      </c>
      <c r="J2514" s="14" t="s">
        <v>47</v>
      </c>
      <c r="K2514" s="15" t="s">
        <v>30</v>
      </c>
      <c r="L2514" s="58"/>
      <c r="M2514" s="14"/>
      <c r="N2514" s="14" t="s">
        <v>33</v>
      </c>
      <c r="O2514" s="14"/>
      <c r="P2514" s="15" t="s">
        <v>385</v>
      </c>
      <c r="Q2514" s="16">
        <v>10099</v>
      </c>
      <c r="R2514" s="17">
        <v>40</v>
      </c>
      <c r="S2514" s="18">
        <v>6968.3099999999995</v>
      </c>
      <c r="T2514" s="19" t="s">
        <v>36</v>
      </c>
      <c r="U2514" s="20" t="s">
        <v>43</v>
      </c>
      <c r="V2514" s="21" t="s">
        <v>44</v>
      </c>
      <c r="W2514" s="22">
        <v>1</v>
      </c>
      <c r="X2514" s="23"/>
    </row>
    <row r="2515" spans="1:24" s="1" customFormat="1" ht="35.1" customHeight="1" x14ac:dyDescent="0.3">
      <c r="A2515" s="11" t="s">
        <v>23</v>
      </c>
      <c r="B2515" s="11" t="s">
        <v>2327</v>
      </c>
      <c r="C2515" s="12" t="s">
        <v>2774</v>
      </c>
      <c r="D2515" s="53"/>
      <c r="E2515" s="39" t="str">
        <f>HYPERLINK("https://www.google.ru/search?q=6012335-299&amp;newwindow=1&amp;tbm=isch","Еще фото")</f>
        <v>Еще фото</v>
      </c>
      <c r="F2515" s="13"/>
      <c r="G2515" s="11" t="s">
        <v>2198</v>
      </c>
      <c r="H2515" s="11" t="s">
        <v>27</v>
      </c>
      <c r="I2515" s="14" t="s">
        <v>2190</v>
      </c>
      <c r="J2515" s="14" t="s">
        <v>47</v>
      </c>
      <c r="K2515" s="15" t="s">
        <v>30</v>
      </c>
      <c r="L2515" s="56" t="s">
        <v>2329</v>
      </c>
      <c r="M2515" s="14"/>
      <c r="N2515" s="14" t="s">
        <v>215</v>
      </c>
      <c r="O2515" s="14"/>
      <c r="P2515" s="15" t="s">
        <v>113</v>
      </c>
      <c r="Q2515" s="16">
        <v>5999</v>
      </c>
      <c r="R2515" s="17">
        <v>40</v>
      </c>
      <c r="S2515" s="18">
        <v>4139.3099999999995</v>
      </c>
      <c r="T2515" s="19" t="s">
        <v>36</v>
      </c>
      <c r="U2515" s="20" t="s">
        <v>39</v>
      </c>
      <c r="V2515" s="21" t="s">
        <v>40</v>
      </c>
      <c r="W2515" s="22">
        <v>10</v>
      </c>
      <c r="X2515" s="23"/>
    </row>
    <row r="2516" spans="1:24" s="1" customFormat="1" ht="35.1" customHeight="1" x14ac:dyDescent="0.3">
      <c r="A2516" s="24" t="s">
        <v>23</v>
      </c>
      <c r="B2516" s="24" t="s">
        <v>2327</v>
      </c>
      <c r="C2516" s="12" t="s">
        <v>2774</v>
      </c>
      <c r="D2516" s="54"/>
      <c r="E2516" s="39" t="str">
        <f>HYPERLINK("https://www.google.ru/search?q=6012335-299&amp;newwindow=1&amp;tbm=isch","Еще фото")</f>
        <v>Еще фото</v>
      </c>
      <c r="F2516" s="13"/>
      <c r="G2516" s="24" t="s">
        <v>2198</v>
      </c>
      <c r="H2516" s="24" t="s">
        <v>27</v>
      </c>
      <c r="I2516" s="24" t="s">
        <v>2190</v>
      </c>
      <c r="J2516" s="14" t="s">
        <v>47</v>
      </c>
      <c r="K2516" s="15" t="s">
        <v>30</v>
      </c>
      <c r="L2516" s="57"/>
      <c r="M2516" s="14"/>
      <c r="N2516" s="14" t="s">
        <v>215</v>
      </c>
      <c r="O2516" s="14"/>
      <c r="P2516" s="15" t="s">
        <v>113</v>
      </c>
      <c r="Q2516" s="16">
        <v>5999</v>
      </c>
      <c r="R2516" s="17">
        <v>40</v>
      </c>
      <c r="S2516" s="18">
        <v>4139.3099999999995</v>
      </c>
      <c r="T2516" s="19" t="s">
        <v>36</v>
      </c>
      <c r="U2516" s="20" t="s">
        <v>41</v>
      </c>
      <c r="V2516" s="21" t="s">
        <v>42</v>
      </c>
      <c r="W2516" s="22">
        <v>1</v>
      </c>
      <c r="X2516" s="23"/>
    </row>
    <row r="2517" spans="1:24" s="1" customFormat="1" ht="36.950000000000003" customHeight="1" x14ac:dyDescent="0.3">
      <c r="A2517" s="24" t="s">
        <v>23</v>
      </c>
      <c r="B2517" s="24" t="s">
        <v>2327</v>
      </c>
      <c r="C2517" s="12" t="s">
        <v>2774</v>
      </c>
      <c r="D2517" s="55"/>
      <c r="E2517" s="39" t="str">
        <f>HYPERLINK("https://www.google.ru/search?q=6012335-299&amp;newwindow=1&amp;tbm=isch","Еще фото")</f>
        <v>Еще фото</v>
      </c>
      <c r="F2517" s="13"/>
      <c r="G2517" s="24" t="s">
        <v>2198</v>
      </c>
      <c r="H2517" s="24" t="s">
        <v>27</v>
      </c>
      <c r="I2517" s="24" t="s">
        <v>2190</v>
      </c>
      <c r="J2517" s="14" t="s">
        <v>47</v>
      </c>
      <c r="K2517" s="15" t="s">
        <v>30</v>
      </c>
      <c r="L2517" s="58"/>
      <c r="M2517" s="14"/>
      <c r="N2517" s="14" t="s">
        <v>215</v>
      </c>
      <c r="O2517" s="14"/>
      <c r="P2517" s="15" t="s">
        <v>113</v>
      </c>
      <c r="Q2517" s="16">
        <v>5999</v>
      </c>
      <c r="R2517" s="17">
        <v>40</v>
      </c>
      <c r="S2517" s="18">
        <v>4139.3099999999995</v>
      </c>
      <c r="T2517" s="19" t="s">
        <v>36</v>
      </c>
      <c r="U2517" s="20" t="s">
        <v>43</v>
      </c>
      <c r="V2517" s="21" t="s">
        <v>44</v>
      </c>
      <c r="W2517" s="22">
        <v>2</v>
      </c>
      <c r="X2517" s="23"/>
    </row>
    <row r="2518" spans="1:24" s="1" customFormat="1" ht="35.1" customHeight="1" x14ac:dyDescent="0.3">
      <c r="A2518" s="11" t="s">
        <v>23</v>
      </c>
      <c r="B2518" s="11" t="s">
        <v>2327</v>
      </c>
      <c r="C2518" s="12" t="s">
        <v>2775</v>
      </c>
      <c r="D2518" s="53"/>
      <c r="E2518" s="39" t="str">
        <f>HYPERLINK("https://www.google.ru/search?q=6012335-498&amp;newwindow=1&amp;tbm=isch","Еще фото")</f>
        <v>Еще фото</v>
      </c>
      <c r="F2518" s="13"/>
      <c r="G2518" s="11" t="s">
        <v>2198</v>
      </c>
      <c r="H2518" s="11" t="s">
        <v>27</v>
      </c>
      <c r="I2518" s="14" t="s">
        <v>2190</v>
      </c>
      <c r="J2518" s="14" t="s">
        <v>47</v>
      </c>
      <c r="K2518" s="15" t="s">
        <v>30</v>
      </c>
      <c r="L2518" s="56" t="s">
        <v>2329</v>
      </c>
      <c r="M2518" s="14"/>
      <c r="N2518" s="14" t="s">
        <v>91</v>
      </c>
      <c r="O2518" s="14"/>
      <c r="P2518" s="15" t="s">
        <v>113</v>
      </c>
      <c r="Q2518" s="16">
        <v>5999</v>
      </c>
      <c r="R2518" s="17">
        <v>40</v>
      </c>
      <c r="S2518" s="18">
        <v>4139.3099999999995</v>
      </c>
      <c r="T2518" s="19" t="s">
        <v>36</v>
      </c>
      <c r="U2518" s="20" t="s">
        <v>39</v>
      </c>
      <c r="V2518" s="21" t="s">
        <v>40</v>
      </c>
      <c r="W2518" s="22">
        <v>3</v>
      </c>
      <c r="X2518" s="23"/>
    </row>
    <row r="2519" spans="1:24" s="1" customFormat="1" ht="35.1" customHeight="1" x14ac:dyDescent="0.3">
      <c r="A2519" s="24" t="s">
        <v>23</v>
      </c>
      <c r="B2519" s="24" t="s">
        <v>2327</v>
      </c>
      <c r="C2519" s="12" t="s">
        <v>2775</v>
      </c>
      <c r="D2519" s="54"/>
      <c r="E2519" s="39" t="str">
        <f>HYPERLINK("https://www.google.ru/search?q=6012335-498&amp;newwindow=1&amp;tbm=isch","Еще фото")</f>
        <v>Еще фото</v>
      </c>
      <c r="F2519" s="13"/>
      <c r="G2519" s="24" t="s">
        <v>2198</v>
      </c>
      <c r="H2519" s="24" t="s">
        <v>27</v>
      </c>
      <c r="I2519" s="24" t="s">
        <v>2190</v>
      </c>
      <c r="J2519" s="14" t="s">
        <v>47</v>
      </c>
      <c r="K2519" s="15" t="s">
        <v>30</v>
      </c>
      <c r="L2519" s="57"/>
      <c r="M2519" s="14"/>
      <c r="N2519" s="14" t="s">
        <v>91</v>
      </c>
      <c r="O2519" s="14"/>
      <c r="P2519" s="15" t="s">
        <v>113</v>
      </c>
      <c r="Q2519" s="16">
        <v>5999</v>
      </c>
      <c r="R2519" s="17">
        <v>40</v>
      </c>
      <c r="S2519" s="18">
        <v>4139.3099999999995</v>
      </c>
      <c r="T2519" s="19" t="s">
        <v>36</v>
      </c>
      <c r="U2519" s="20" t="s">
        <v>41</v>
      </c>
      <c r="V2519" s="21" t="s">
        <v>42</v>
      </c>
      <c r="W2519" s="22">
        <v>1</v>
      </c>
      <c r="X2519" s="23"/>
    </row>
    <row r="2520" spans="1:24" s="1" customFormat="1" ht="36.950000000000003" customHeight="1" x14ac:dyDescent="0.3">
      <c r="A2520" s="24" t="s">
        <v>23</v>
      </c>
      <c r="B2520" s="24" t="s">
        <v>2327</v>
      </c>
      <c r="C2520" s="12" t="s">
        <v>2775</v>
      </c>
      <c r="D2520" s="55"/>
      <c r="E2520" s="39" t="str">
        <f>HYPERLINK("https://www.google.ru/search?q=6012335-498&amp;newwindow=1&amp;tbm=isch","Еще фото")</f>
        <v>Еще фото</v>
      </c>
      <c r="F2520" s="13"/>
      <c r="G2520" s="24" t="s">
        <v>2198</v>
      </c>
      <c r="H2520" s="24" t="s">
        <v>27</v>
      </c>
      <c r="I2520" s="24" t="s">
        <v>2190</v>
      </c>
      <c r="J2520" s="14" t="s">
        <v>47</v>
      </c>
      <c r="K2520" s="15" t="s">
        <v>30</v>
      </c>
      <c r="L2520" s="58"/>
      <c r="M2520" s="14"/>
      <c r="N2520" s="14" t="s">
        <v>91</v>
      </c>
      <c r="O2520" s="14"/>
      <c r="P2520" s="15" t="s">
        <v>113</v>
      </c>
      <c r="Q2520" s="16">
        <v>5999</v>
      </c>
      <c r="R2520" s="17">
        <v>40</v>
      </c>
      <c r="S2520" s="18">
        <v>4139.3099999999995</v>
      </c>
      <c r="T2520" s="19" t="s">
        <v>36</v>
      </c>
      <c r="U2520" s="20" t="s">
        <v>43</v>
      </c>
      <c r="V2520" s="21" t="s">
        <v>44</v>
      </c>
      <c r="W2520" s="22">
        <v>1</v>
      </c>
      <c r="X2520" s="23"/>
    </row>
    <row r="2521" spans="1:24" s="1" customFormat="1" ht="51.95" customHeight="1" x14ac:dyDescent="0.3">
      <c r="A2521" s="11" t="s">
        <v>23</v>
      </c>
      <c r="B2521" s="11" t="s">
        <v>2388</v>
      </c>
      <c r="C2521" s="12" t="s">
        <v>2776</v>
      </c>
      <c r="D2521" s="59"/>
      <c r="E2521" s="39" t="str">
        <f>HYPERLINK("https://www.google.ru/search?q=6014621-466&amp;newwindow=1&amp;tbm=isch","Еще фото")</f>
        <v>Еще фото</v>
      </c>
      <c r="F2521" s="13" t="s">
        <v>98</v>
      </c>
      <c r="G2521" s="11" t="s">
        <v>2202</v>
      </c>
      <c r="H2521" s="11" t="s">
        <v>27</v>
      </c>
      <c r="I2521" s="14" t="s">
        <v>2190</v>
      </c>
      <c r="J2521" s="14" t="s">
        <v>47</v>
      </c>
      <c r="K2521" s="15" t="s">
        <v>30</v>
      </c>
      <c r="L2521" s="56"/>
      <c r="M2521" s="14"/>
      <c r="N2521" s="14" t="s">
        <v>91</v>
      </c>
      <c r="O2521" s="14"/>
      <c r="P2521" s="15" t="s">
        <v>269</v>
      </c>
      <c r="Q2521" s="16">
        <v>8999</v>
      </c>
      <c r="R2521" s="17">
        <v>40</v>
      </c>
      <c r="S2521" s="18">
        <v>6209.3099999999995</v>
      </c>
      <c r="T2521" s="19" t="s">
        <v>36</v>
      </c>
      <c r="U2521" s="20" t="s">
        <v>41</v>
      </c>
      <c r="V2521" s="21" t="s">
        <v>42</v>
      </c>
      <c r="W2521" s="22">
        <v>1</v>
      </c>
      <c r="X2521" s="23"/>
    </row>
    <row r="2522" spans="1:24" s="1" customFormat="1" ht="60.95" customHeight="1" x14ac:dyDescent="0.3">
      <c r="A2522" s="24" t="s">
        <v>23</v>
      </c>
      <c r="B2522" s="24" t="s">
        <v>2388</v>
      </c>
      <c r="C2522" s="12" t="s">
        <v>2776</v>
      </c>
      <c r="D2522" s="60"/>
      <c r="E2522" s="39" t="str">
        <f>HYPERLINK("https://www.google.ru/search?q=6014621-466&amp;newwindow=1&amp;tbm=isch","Еще фото")</f>
        <v>Еще фото</v>
      </c>
      <c r="F2522" s="13" t="s">
        <v>98</v>
      </c>
      <c r="G2522" s="24" t="s">
        <v>2202</v>
      </c>
      <c r="H2522" s="24" t="s">
        <v>27</v>
      </c>
      <c r="I2522" s="24" t="s">
        <v>2190</v>
      </c>
      <c r="J2522" s="14" t="s">
        <v>47</v>
      </c>
      <c r="K2522" s="15" t="s">
        <v>30</v>
      </c>
      <c r="L2522" s="58"/>
      <c r="M2522" s="14"/>
      <c r="N2522" s="14" t="s">
        <v>91</v>
      </c>
      <c r="O2522" s="14"/>
      <c r="P2522" s="15" t="s">
        <v>269</v>
      </c>
      <c r="Q2522" s="16">
        <v>8999</v>
      </c>
      <c r="R2522" s="17">
        <v>40</v>
      </c>
      <c r="S2522" s="18">
        <v>6209.3099999999995</v>
      </c>
      <c r="T2522" s="19" t="s">
        <v>36</v>
      </c>
      <c r="U2522" s="20" t="s">
        <v>43</v>
      </c>
      <c r="V2522" s="21" t="s">
        <v>44</v>
      </c>
      <c r="W2522" s="22">
        <v>3</v>
      </c>
      <c r="X2522" s="23"/>
    </row>
    <row r="2523" spans="1:24" s="1" customFormat="1" ht="21" customHeight="1" x14ac:dyDescent="0.3">
      <c r="A2523" s="11" t="s">
        <v>23</v>
      </c>
      <c r="B2523" s="11" t="s">
        <v>2388</v>
      </c>
      <c r="C2523" s="26" t="s">
        <v>2777</v>
      </c>
      <c r="D2523" s="53"/>
      <c r="E2523" s="39" t="str">
        <f>HYPERLINK("https://www.google.ru/search?q=6014621-498&amp;newwindow=1&amp;tbm=isch","Еще фото")</f>
        <v>Еще фото</v>
      </c>
      <c r="F2523" s="13"/>
      <c r="G2523" s="11" t="s">
        <v>2202</v>
      </c>
      <c r="H2523" s="11" t="s">
        <v>27</v>
      </c>
      <c r="I2523" s="14" t="s">
        <v>2190</v>
      </c>
      <c r="J2523" s="14" t="s">
        <v>47</v>
      </c>
      <c r="K2523" s="15" t="s">
        <v>30</v>
      </c>
      <c r="L2523" s="56" t="s">
        <v>2390</v>
      </c>
      <c r="M2523" s="14"/>
      <c r="N2523" s="14" t="s">
        <v>91</v>
      </c>
      <c r="O2523" s="14"/>
      <c r="P2523" s="15" t="s">
        <v>185</v>
      </c>
      <c r="Q2523" s="16">
        <v>8999</v>
      </c>
      <c r="R2523" s="17">
        <v>40</v>
      </c>
      <c r="S2523" s="18">
        <v>6209.3099999999995</v>
      </c>
      <c r="T2523" s="19" t="s">
        <v>36</v>
      </c>
      <c r="U2523" s="20" t="s">
        <v>37</v>
      </c>
      <c r="V2523" s="21" t="s">
        <v>38</v>
      </c>
      <c r="W2523" s="22">
        <v>3</v>
      </c>
      <c r="X2523" s="23"/>
    </row>
    <row r="2524" spans="1:24" s="1" customFormat="1" ht="21" customHeight="1" x14ac:dyDescent="0.3">
      <c r="A2524" s="24" t="s">
        <v>23</v>
      </c>
      <c r="B2524" s="24" t="s">
        <v>2388</v>
      </c>
      <c r="C2524" s="27" t="s">
        <v>2777</v>
      </c>
      <c r="D2524" s="54"/>
      <c r="E2524" s="39" t="str">
        <f>HYPERLINK("https://www.google.ru/search?q=6014621-498&amp;newwindow=1&amp;tbm=isch","Еще фото")</f>
        <v>Еще фото</v>
      </c>
      <c r="F2524" s="13"/>
      <c r="G2524" s="24" t="s">
        <v>2202</v>
      </c>
      <c r="H2524" s="24" t="s">
        <v>27</v>
      </c>
      <c r="I2524" s="24" t="s">
        <v>2190</v>
      </c>
      <c r="J2524" s="14" t="s">
        <v>47</v>
      </c>
      <c r="K2524" s="15" t="s">
        <v>30</v>
      </c>
      <c r="L2524" s="57"/>
      <c r="M2524" s="14"/>
      <c r="N2524" s="14" t="s">
        <v>91</v>
      </c>
      <c r="O2524" s="14"/>
      <c r="P2524" s="15" t="s">
        <v>185</v>
      </c>
      <c r="Q2524" s="16">
        <v>8999</v>
      </c>
      <c r="R2524" s="17">
        <v>40</v>
      </c>
      <c r="S2524" s="18">
        <v>6209.3099999999995</v>
      </c>
      <c r="T2524" s="19" t="s">
        <v>36</v>
      </c>
      <c r="U2524" s="20" t="s">
        <v>39</v>
      </c>
      <c r="V2524" s="21" t="s">
        <v>40</v>
      </c>
      <c r="W2524" s="22">
        <v>16</v>
      </c>
      <c r="X2524" s="23"/>
    </row>
    <row r="2525" spans="1:24" s="1" customFormat="1" ht="21" customHeight="1" x14ac:dyDescent="0.3">
      <c r="A2525" s="24" t="s">
        <v>23</v>
      </c>
      <c r="B2525" s="24" t="s">
        <v>2388</v>
      </c>
      <c r="C2525" s="27" t="s">
        <v>2777</v>
      </c>
      <c r="D2525" s="54"/>
      <c r="E2525" s="39" t="str">
        <f>HYPERLINK("https://www.google.ru/search?q=6014621-498&amp;newwindow=1&amp;tbm=isch","Еще фото")</f>
        <v>Еще фото</v>
      </c>
      <c r="F2525" s="13"/>
      <c r="G2525" s="24" t="s">
        <v>2202</v>
      </c>
      <c r="H2525" s="24" t="s">
        <v>27</v>
      </c>
      <c r="I2525" s="24" t="s">
        <v>2190</v>
      </c>
      <c r="J2525" s="14" t="s">
        <v>47</v>
      </c>
      <c r="K2525" s="15" t="s">
        <v>30</v>
      </c>
      <c r="L2525" s="57"/>
      <c r="M2525" s="14"/>
      <c r="N2525" s="14" t="s">
        <v>91</v>
      </c>
      <c r="O2525" s="14"/>
      <c r="P2525" s="15" t="s">
        <v>185</v>
      </c>
      <c r="Q2525" s="16">
        <v>8999</v>
      </c>
      <c r="R2525" s="17">
        <v>40</v>
      </c>
      <c r="S2525" s="18">
        <v>6209.3099999999995</v>
      </c>
      <c r="T2525" s="19" t="s">
        <v>36</v>
      </c>
      <c r="U2525" s="20" t="s">
        <v>41</v>
      </c>
      <c r="V2525" s="21" t="s">
        <v>42</v>
      </c>
      <c r="W2525" s="22">
        <v>6</v>
      </c>
      <c r="X2525" s="23"/>
    </row>
    <row r="2526" spans="1:24" s="1" customFormat="1" ht="21" customHeight="1" x14ac:dyDescent="0.3">
      <c r="A2526" s="24" t="s">
        <v>23</v>
      </c>
      <c r="B2526" s="24" t="s">
        <v>2388</v>
      </c>
      <c r="C2526" s="27" t="s">
        <v>2777</v>
      </c>
      <c r="D2526" s="54"/>
      <c r="E2526" s="39" t="str">
        <f>HYPERLINK("https://www.google.ru/search?q=6014621-498&amp;newwindow=1&amp;tbm=isch","Еще фото")</f>
        <v>Еще фото</v>
      </c>
      <c r="F2526" s="13"/>
      <c r="G2526" s="24" t="s">
        <v>2202</v>
      </c>
      <c r="H2526" s="24" t="s">
        <v>27</v>
      </c>
      <c r="I2526" s="24" t="s">
        <v>2190</v>
      </c>
      <c r="J2526" s="14" t="s">
        <v>47</v>
      </c>
      <c r="K2526" s="15" t="s">
        <v>30</v>
      </c>
      <c r="L2526" s="57"/>
      <c r="M2526" s="14"/>
      <c r="N2526" s="14" t="s">
        <v>91</v>
      </c>
      <c r="O2526" s="14"/>
      <c r="P2526" s="15" t="s">
        <v>185</v>
      </c>
      <c r="Q2526" s="16">
        <v>8999</v>
      </c>
      <c r="R2526" s="17">
        <v>40</v>
      </c>
      <c r="S2526" s="18">
        <v>6209.3099999999995</v>
      </c>
      <c r="T2526" s="19" t="s">
        <v>36</v>
      </c>
      <c r="U2526" s="20" t="s">
        <v>43</v>
      </c>
      <c r="V2526" s="21" t="s">
        <v>44</v>
      </c>
      <c r="W2526" s="22">
        <v>7</v>
      </c>
      <c r="X2526" s="23"/>
    </row>
    <row r="2527" spans="1:24" s="1" customFormat="1" ht="32.1" customHeight="1" x14ac:dyDescent="0.3">
      <c r="A2527" s="24" t="s">
        <v>23</v>
      </c>
      <c r="B2527" s="24" t="s">
        <v>2388</v>
      </c>
      <c r="C2527" s="27" t="s">
        <v>2777</v>
      </c>
      <c r="D2527" s="55"/>
      <c r="E2527" s="39" t="str">
        <f>HYPERLINK("https://www.google.ru/search?q=6014621-498&amp;newwindow=1&amp;tbm=isch","Еще фото")</f>
        <v>Еще фото</v>
      </c>
      <c r="F2527" s="13"/>
      <c r="G2527" s="24" t="s">
        <v>2202</v>
      </c>
      <c r="H2527" s="24" t="s">
        <v>27</v>
      </c>
      <c r="I2527" s="24" t="s">
        <v>2190</v>
      </c>
      <c r="J2527" s="14" t="s">
        <v>47</v>
      </c>
      <c r="K2527" s="15" t="s">
        <v>30</v>
      </c>
      <c r="L2527" s="58"/>
      <c r="M2527" s="14"/>
      <c r="N2527" s="14" t="s">
        <v>91</v>
      </c>
      <c r="O2527" s="14"/>
      <c r="P2527" s="15" t="s">
        <v>185</v>
      </c>
      <c r="Q2527" s="16">
        <v>8999</v>
      </c>
      <c r="R2527" s="17">
        <v>40</v>
      </c>
      <c r="S2527" s="18">
        <v>6209.3099999999995</v>
      </c>
      <c r="T2527" s="19" t="s">
        <v>36</v>
      </c>
      <c r="U2527" s="20" t="s">
        <v>104</v>
      </c>
      <c r="V2527" s="21" t="s">
        <v>105</v>
      </c>
      <c r="W2527" s="22">
        <v>2</v>
      </c>
      <c r="X2527" s="23"/>
    </row>
    <row r="2528" spans="1:24" s="1" customFormat="1" ht="51.95" customHeight="1" x14ac:dyDescent="0.3">
      <c r="A2528" s="11" t="s">
        <v>23</v>
      </c>
      <c r="B2528" s="11" t="s">
        <v>2778</v>
      </c>
      <c r="C2528" s="12" t="s">
        <v>2779</v>
      </c>
      <c r="D2528" s="59"/>
      <c r="E2528" s="39" t="str">
        <f>HYPERLINK("https://www.google.ru/search?q=6014686-338&amp;newwindow=1&amp;tbm=isch","Еще фото")</f>
        <v>Еще фото</v>
      </c>
      <c r="F2528" s="13"/>
      <c r="G2528" s="11" t="s">
        <v>2198</v>
      </c>
      <c r="H2528" s="11" t="s">
        <v>27</v>
      </c>
      <c r="I2528" s="14" t="s">
        <v>2190</v>
      </c>
      <c r="J2528" s="14" t="s">
        <v>47</v>
      </c>
      <c r="K2528" s="15" t="s">
        <v>30</v>
      </c>
      <c r="L2528" s="56" t="s">
        <v>2780</v>
      </c>
      <c r="M2528" s="14"/>
      <c r="N2528" s="14" t="s">
        <v>125</v>
      </c>
      <c r="O2528" s="14"/>
      <c r="P2528" s="15" t="s">
        <v>113</v>
      </c>
      <c r="Q2528" s="16">
        <v>6599</v>
      </c>
      <c r="R2528" s="17">
        <v>40</v>
      </c>
      <c r="S2528" s="18">
        <v>4553.3099999999995</v>
      </c>
      <c r="T2528" s="19" t="s">
        <v>36</v>
      </c>
      <c r="U2528" s="20" t="s">
        <v>37</v>
      </c>
      <c r="V2528" s="21" t="s">
        <v>38</v>
      </c>
      <c r="W2528" s="22">
        <v>4</v>
      </c>
      <c r="X2528" s="23"/>
    </row>
    <row r="2529" spans="1:24" s="1" customFormat="1" ht="60.95" customHeight="1" x14ac:dyDescent="0.3">
      <c r="A2529" s="24" t="s">
        <v>23</v>
      </c>
      <c r="B2529" s="24" t="s">
        <v>2778</v>
      </c>
      <c r="C2529" s="12" t="s">
        <v>2779</v>
      </c>
      <c r="D2529" s="60"/>
      <c r="E2529" s="39" t="str">
        <f>HYPERLINK("https://www.google.ru/search?q=6014686-338&amp;newwindow=1&amp;tbm=isch","Еще фото")</f>
        <v>Еще фото</v>
      </c>
      <c r="F2529" s="13"/>
      <c r="G2529" s="24" t="s">
        <v>2198</v>
      </c>
      <c r="H2529" s="24" t="s">
        <v>27</v>
      </c>
      <c r="I2529" s="24" t="s">
        <v>2190</v>
      </c>
      <c r="J2529" s="14" t="s">
        <v>47</v>
      </c>
      <c r="K2529" s="15" t="s">
        <v>30</v>
      </c>
      <c r="L2529" s="58"/>
      <c r="M2529" s="14"/>
      <c r="N2529" s="14" t="s">
        <v>125</v>
      </c>
      <c r="O2529" s="14"/>
      <c r="P2529" s="15" t="s">
        <v>113</v>
      </c>
      <c r="Q2529" s="16">
        <v>6599</v>
      </c>
      <c r="R2529" s="17">
        <v>40</v>
      </c>
      <c r="S2529" s="18">
        <v>4553.3099999999995</v>
      </c>
      <c r="T2529" s="19" t="s">
        <v>36</v>
      </c>
      <c r="U2529" s="20" t="s">
        <v>39</v>
      </c>
      <c r="V2529" s="21" t="s">
        <v>40</v>
      </c>
      <c r="W2529" s="22">
        <v>1</v>
      </c>
      <c r="X2529" s="23"/>
    </row>
    <row r="2530" spans="1:24" s="1" customFormat="1" ht="51.95" customHeight="1" x14ac:dyDescent="0.3">
      <c r="A2530" s="11" t="s">
        <v>23</v>
      </c>
      <c r="B2530" s="11" t="s">
        <v>2781</v>
      </c>
      <c r="C2530" s="12" t="s">
        <v>2782</v>
      </c>
      <c r="D2530" s="59"/>
      <c r="E2530" s="39" t="str">
        <f>HYPERLINK("https://www.google.ru/search?q=1367967-390&amp;newwindow=1&amp;tbm=isch","Еще фото")</f>
        <v>Еще фото</v>
      </c>
      <c r="F2530" s="13"/>
      <c r="G2530" s="11" t="s">
        <v>2783</v>
      </c>
      <c r="H2530" s="11" t="s">
        <v>27</v>
      </c>
      <c r="I2530" s="14" t="s">
        <v>2784</v>
      </c>
      <c r="J2530" s="14" t="s">
        <v>47</v>
      </c>
      <c r="K2530" s="15" t="s">
        <v>30</v>
      </c>
      <c r="L2530" s="56" t="s">
        <v>2785</v>
      </c>
      <c r="M2530" s="14" t="s">
        <v>49</v>
      </c>
      <c r="N2530" s="14" t="s">
        <v>125</v>
      </c>
      <c r="O2530" s="14" t="s">
        <v>34</v>
      </c>
      <c r="P2530" s="15" t="s">
        <v>2601</v>
      </c>
      <c r="Q2530" s="16">
        <v>7499</v>
      </c>
      <c r="R2530" s="17">
        <v>61.76</v>
      </c>
      <c r="S2530" s="18">
        <v>3297.9354999999996</v>
      </c>
      <c r="T2530" s="19" t="s">
        <v>36</v>
      </c>
      <c r="U2530" s="20" t="s">
        <v>37</v>
      </c>
      <c r="V2530" s="21" t="s">
        <v>38</v>
      </c>
      <c r="W2530" s="22">
        <v>8</v>
      </c>
      <c r="X2530" s="23"/>
    </row>
    <row r="2531" spans="1:24" s="1" customFormat="1" ht="60.95" customHeight="1" x14ac:dyDescent="0.3">
      <c r="A2531" s="24" t="s">
        <v>23</v>
      </c>
      <c r="B2531" s="24" t="s">
        <v>2781</v>
      </c>
      <c r="C2531" s="12" t="s">
        <v>2782</v>
      </c>
      <c r="D2531" s="60"/>
      <c r="E2531" s="39" t="str">
        <f>HYPERLINK("https://www.google.ru/search?q=1367967-390&amp;newwindow=1&amp;tbm=isch","Еще фото")</f>
        <v>Еще фото</v>
      </c>
      <c r="F2531" s="13"/>
      <c r="G2531" s="24" t="s">
        <v>2783</v>
      </c>
      <c r="H2531" s="24" t="s">
        <v>27</v>
      </c>
      <c r="I2531" s="24" t="s">
        <v>2784</v>
      </c>
      <c r="J2531" s="14" t="s">
        <v>47</v>
      </c>
      <c r="K2531" s="15" t="s">
        <v>30</v>
      </c>
      <c r="L2531" s="58"/>
      <c r="M2531" s="14" t="s">
        <v>49</v>
      </c>
      <c r="N2531" s="14" t="s">
        <v>125</v>
      </c>
      <c r="O2531" s="14" t="s">
        <v>34</v>
      </c>
      <c r="P2531" s="15" t="s">
        <v>2601</v>
      </c>
      <c r="Q2531" s="16">
        <v>7499</v>
      </c>
      <c r="R2531" s="17">
        <v>61.76</v>
      </c>
      <c r="S2531" s="18">
        <v>3297.9354999999996</v>
      </c>
      <c r="T2531" s="19" t="s">
        <v>36</v>
      </c>
      <c r="U2531" s="20" t="s">
        <v>39</v>
      </c>
      <c r="V2531" s="21" t="s">
        <v>40</v>
      </c>
      <c r="W2531" s="22">
        <v>3</v>
      </c>
      <c r="X2531" s="23"/>
    </row>
    <row r="2532" spans="1:24" s="1" customFormat="1" ht="108" customHeight="1" x14ac:dyDescent="0.3">
      <c r="A2532" s="11" t="s">
        <v>23</v>
      </c>
      <c r="B2532" s="11" t="s">
        <v>2786</v>
      </c>
      <c r="C2532" s="12" t="s">
        <v>2787</v>
      </c>
      <c r="D2532" s="25"/>
      <c r="E2532" s="39" t="str">
        <f>HYPERLINK("https://www.google.ru/search?q=1330016-004&amp;newwindow=1&amp;tbm=isch","Еще фото")</f>
        <v>Еще фото</v>
      </c>
      <c r="F2532" s="13"/>
      <c r="G2532" s="11" t="s">
        <v>2788</v>
      </c>
      <c r="H2532" s="11" t="s">
        <v>27</v>
      </c>
      <c r="I2532" s="14" t="s">
        <v>2784</v>
      </c>
      <c r="J2532" s="14" t="s">
        <v>47</v>
      </c>
      <c r="K2532" s="15" t="s">
        <v>30</v>
      </c>
      <c r="L2532" s="14" t="s">
        <v>2789</v>
      </c>
      <c r="M2532" s="14"/>
      <c r="N2532" s="14" t="s">
        <v>33</v>
      </c>
      <c r="O2532" s="14"/>
      <c r="P2532" s="15" t="s">
        <v>2790</v>
      </c>
      <c r="Q2532" s="16">
        <v>19790</v>
      </c>
      <c r="R2532" s="17">
        <v>56.5</v>
      </c>
      <c r="S2532" s="18">
        <v>9898.9354999999996</v>
      </c>
      <c r="T2532" s="19" t="s">
        <v>36</v>
      </c>
      <c r="U2532" s="20" t="s">
        <v>39</v>
      </c>
      <c r="V2532" s="21" t="s">
        <v>40</v>
      </c>
      <c r="W2532" s="22">
        <v>1</v>
      </c>
      <c r="X2532" s="23"/>
    </row>
    <row r="2533" spans="1:24" s="1" customFormat="1" ht="26.1" customHeight="1" x14ac:dyDescent="0.3">
      <c r="A2533" s="11" t="s">
        <v>23</v>
      </c>
      <c r="B2533" s="11" t="s">
        <v>2791</v>
      </c>
      <c r="C2533" s="12" t="s">
        <v>2792</v>
      </c>
      <c r="D2533" s="53"/>
      <c r="E2533" s="39" t="str">
        <f>HYPERLINK("https://www.google.ru/search?q=6009720-100&amp;newwindow=1&amp;tbm=isch","Еще фото")</f>
        <v>Еще фото</v>
      </c>
      <c r="F2533" s="13"/>
      <c r="G2533" s="11" t="s">
        <v>2788</v>
      </c>
      <c r="H2533" s="11" t="s">
        <v>27</v>
      </c>
      <c r="I2533" s="14" t="s">
        <v>2784</v>
      </c>
      <c r="J2533" s="14" t="s">
        <v>47</v>
      </c>
      <c r="K2533" s="15" t="s">
        <v>54</v>
      </c>
      <c r="L2533" s="56" t="s">
        <v>2793</v>
      </c>
      <c r="M2533" s="14"/>
      <c r="N2533" s="14" t="s">
        <v>74</v>
      </c>
      <c r="O2533" s="14"/>
      <c r="P2533" s="15" t="s">
        <v>2601</v>
      </c>
      <c r="Q2533" s="16">
        <v>2399</v>
      </c>
      <c r="R2533" s="17">
        <v>52.99</v>
      </c>
      <c r="S2533" s="18">
        <v>1296.9354999999998</v>
      </c>
      <c r="T2533" s="19" t="s">
        <v>36</v>
      </c>
      <c r="U2533" s="20" t="s">
        <v>114</v>
      </c>
      <c r="V2533" s="21" t="s">
        <v>115</v>
      </c>
      <c r="W2533" s="22">
        <v>4</v>
      </c>
      <c r="X2533" s="23"/>
    </row>
    <row r="2534" spans="1:24" s="1" customFormat="1" ht="26.1" customHeight="1" x14ac:dyDescent="0.3">
      <c r="A2534" s="24" t="s">
        <v>23</v>
      </c>
      <c r="B2534" s="24" t="s">
        <v>2791</v>
      </c>
      <c r="C2534" s="12" t="s">
        <v>2792</v>
      </c>
      <c r="D2534" s="54"/>
      <c r="E2534" s="39" t="str">
        <f>HYPERLINK("https://www.google.ru/search?q=6009720-100&amp;newwindow=1&amp;tbm=isch","Еще фото")</f>
        <v>Еще фото</v>
      </c>
      <c r="F2534" s="13"/>
      <c r="G2534" s="24" t="s">
        <v>2788</v>
      </c>
      <c r="H2534" s="24" t="s">
        <v>27</v>
      </c>
      <c r="I2534" s="24" t="s">
        <v>2784</v>
      </c>
      <c r="J2534" s="14" t="s">
        <v>47</v>
      </c>
      <c r="K2534" s="15" t="s">
        <v>54</v>
      </c>
      <c r="L2534" s="57"/>
      <c r="M2534" s="14"/>
      <c r="N2534" s="14" t="s">
        <v>74</v>
      </c>
      <c r="O2534" s="14"/>
      <c r="P2534" s="15" t="s">
        <v>2601</v>
      </c>
      <c r="Q2534" s="16">
        <v>2399</v>
      </c>
      <c r="R2534" s="17">
        <v>52.99</v>
      </c>
      <c r="S2534" s="18">
        <v>1296.9354999999998</v>
      </c>
      <c r="T2534" s="19" t="s">
        <v>36</v>
      </c>
      <c r="U2534" s="20" t="s">
        <v>126</v>
      </c>
      <c r="V2534" s="21" t="s">
        <v>127</v>
      </c>
      <c r="W2534" s="22">
        <v>8</v>
      </c>
      <c r="X2534" s="23"/>
    </row>
    <row r="2535" spans="1:24" s="1" customFormat="1" ht="26.1" customHeight="1" x14ac:dyDescent="0.3">
      <c r="A2535" s="24" t="s">
        <v>23</v>
      </c>
      <c r="B2535" s="24" t="s">
        <v>2791</v>
      </c>
      <c r="C2535" s="12" t="s">
        <v>2792</v>
      </c>
      <c r="D2535" s="54"/>
      <c r="E2535" s="39" t="str">
        <f>HYPERLINK("https://www.google.ru/search?q=6009720-100&amp;newwindow=1&amp;tbm=isch","Еще фото")</f>
        <v>Еще фото</v>
      </c>
      <c r="F2535" s="13"/>
      <c r="G2535" s="24" t="s">
        <v>2788</v>
      </c>
      <c r="H2535" s="24" t="s">
        <v>27</v>
      </c>
      <c r="I2535" s="24" t="s">
        <v>2784</v>
      </c>
      <c r="J2535" s="14" t="s">
        <v>47</v>
      </c>
      <c r="K2535" s="15" t="s">
        <v>54</v>
      </c>
      <c r="L2535" s="57"/>
      <c r="M2535" s="14"/>
      <c r="N2535" s="14" t="s">
        <v>74</v>
      </c>
      <c r="O2535" s="14"/>
      <c r="P2535" s="15" t="s">
        <v>2601</v>
      </c>
      <c r="Q2535" s="16">
        <v>2399</v>
      </c>
      <c r="R2535" s="17">
        <v>52.99</v>
      </c>
      <c r="S2535" s="18">
        <v>1296.9354999999998</v>
      </c>
      <c r="T2535" s="19" t="s">
        <v>36</v>
      </c>
      <c r="U2535" s="20" t="s">
        <v>128</v>
      </c>
      <c r="V2535" s="21" t="s">
        <v>129</v>
      </c>
      <c r="W2535" s="22">
        <v>6</v>
      </c>
      <c r="X2535" s="23"/>
    </row>
    <row r="2536" spans="1:24" s="1" customFormat="1" ht="26.1" customHeight="1" x14ac:dyDescent="0.3">
      <c r="A2536" s="24" t="s">
        <v>23</v>
      </c>
      <c r="B2536" s="24" t="s">
        <v>2791</v>
      </c>
      <c r="C2536" s="12" t="s">
        <v>2792</v>
      </c>
      <c r="D2536" s="55"/>
      <c r="E2536" s="39" t="str">
        <f>HYPERLINK("https://www.google.ru/search?q=6009720-100&amp;newwindow=1&amp;tbm=isch","Еще фото")</f>
        <v>Еще фото</v>
      </c>
      <c r="F2536" s="13"/>
      <c r="G2536" s="24" t="s">
        <v>2788</v>
      </c>
      <c r="H2536" s="24" t="s">
        <v>27</v>
      </c>
      <c r="I2536" s="24" t="s">
        <v>2784</v>
      </c>
      <c r="J2536" s="14" t="s">
        <v>47</v>
      </c>
      <c r="K2536" s="15" t="s">
        <v>54</v>
      </c>
      <c r="L2536" s="58"/>
      <c r="M2536" s="14"/>
      <c r="N2536" s="14" t="s">
        <v>74</v>
      </c>
      <c r="O2536" s="14"/>
      <c r="P2536" s="15" t="s">
        <v>2601</v>
      </c>
      <c r="Q2536" s="16">
        <v>2399</v>
      </c>
      <c r="R2536" s="17">
        <v>52.99</v>
      </c>
      <c r="S2536" s="18">
        <v>1296.9354999999998</v>
      </c>
      <c r="T2536" s="19" t="s">
        <v>36</v>
      </c>
      <c r="U2536" s="20" t="s">
        <v>59</v>
      </c>
      <c r="V2536" s="21" t="s">
        <v>60</v>
      </c>
      <c r="W2536" s="22">
        <v>12</v>
      </c>
      <c r="X2536" s="23"/>
    </row>
    <row r="2537" spans="1:24" s="1" customFormat="1" ht="21" customHeight="1" x14ac:dyDescent="0.3">
      <c r="A2537" s="11" t="s">
        <v>23</v>
      </c>
      <c r="B2537" s="11" t="s">
        <v>2791</v>
      </c>
      <c r="C2537" s="26" t="s">
        <v>2794</v>
      </c>
      <c r="D2537" s="53"/>
      <c r="E2537" s="39" t="str">
        <f>HYPERLINK("https://www.google.ru/search?q=6009720-520&amp;newwindow=1&amp;tbm=isch","Еще фото")</f>
        <v>Еще фото</v>
      </c>
      <c r="F2537" s="13"/>
      <c r="G2537" s="11" t="s">
        <v>2788</v>
      </c>
      <c r="H2537" s="11" t="s">
        <v>27</v>
      </c>
      <c r="I2537" s="14" t="s">
        <v>2784</v>
      </c>
      <c r="J2537" s="14" t="s">
        <v>47</v>
      </c>
      <c r="K2537" s="15" t="s">
        <v>54</v>
      </c>
      <c r="L2537" s="56" t="s">
        <v>2793</v>
      </c>
      <c r="M2537" s="14"/>
      <c r="N2537" s="14" t="s">
        <v>67</v>
      </c>
      <c r="O2537" s="14"/>
      <c r="P2537" s="15" t="s">
        <v>2601</v>
      </c>
      <c r="Q2537" s="16">
        <v>2399</v>
      </c>
      <c r="R2537" s="17">
        <v>52.99</v>
      </c>
      <c r="S2537" s="18">
        <v>1296.9354999999998</v>
      </c>
      <c r="T2537" s="19" t="s">
        <v>36</v>
      </c>
      <c r="U2537" s="20" t="s">
        <v>114</v>
      </c>
      <c r="V2537" s="21" t="s">
        <v>115</v>
      </c>
      <c r="W2537" s="22">
        <v>4</v>
      </c>
      <c r="X2537" s="23"/>
    </row>
    <row r="2538" spans="1:24" s="1" customFormat="1" ht="21" customHeight="1" x14ac:dyDescent="0.3">
      <c r="A2538" s="24" t="s">
        <v>23</v>
      </c>
      <c r="B2538" s="24" t="s">
        <v>2791</v>
      </c>
      <c r="C2538" s="27" t="s">
        <v>2794</v>
      </c>
      <c r="D2538" s="54"/>
      <c r="E2538" s="39" t="str">
        <f>HYPERLINK("https://www.google.ru/search?q=6009720-520&amp;newwindow=1&amp;tbm=isch","Еще фото")</f>
        <v>Еще фото</v>
      </c>
      <c r="F2538" s="13"/>
      <c r="G2538" s="24" t="s">
        <v>2788</v>
      </c>
      <c r="H2538" s="24" t="s">
        <v>27</v>
      </c>
      <c r="I2538" s="24" t="s">
        <v>2784</v>
      </c>
      <c r="J2538" s="14" t="s">
        <v>47</v>
      </c>
      <c r="K2538" s="15" t="s">
        <v>54</v>
      </c>
      <c r="L2538" s="57"/>
      <c r="M2538" s="14"/>
      <c r="N2538" s="14" t="s">
        <v>67</v>
      </c>
      <c r="O2538" s="14"/>
      <c r="P2538" s="15" t="s">
        <v>2601</v>
      </c>
      <c r="Q2538" s="16">
        <v>2399</v>
      </c>
      <c r="R2538" s="17">
        <v>52.99</v>
      </c>
      <c r="S2538" s="18">
        <v>1296.9354999999998</v>
      </c>
      <c r="T2538" s="19" t="s">
        <v>36</v>
      </c>
      <c r="U2538" s="20" t="s">
        <v>126</v>
      </c>
      <c r="V2538" s="21" t="s">
        <v>127</v>
      </c>
      <c r="W2538" s="22">
        <v>5</v>
      </c>
      <c r="X2538" s="23"/>
    </row>
    <row r="2539" spans="1:24" s="1" customFormat="1" ht="21" customHeight="1" x14ac:dyDescent="0.3">
      <c r="A2539" s="24" t="s">
        <v>23</v>
      </c>
      <c r="B2539" s="24" t="s">
        <v>2791</v>
      </c>
      <c r="C2539" s="27" t="s">
        <v>2794</v>
      </c>
      <c r="D2539" s="54"/>
      <c r="E2539" s="39" t="str">
        <f>HYPERLINK("https://www.google.ru/search?q=6009720-520&amp;newwindow=1&amp;tbm=isch","Еще фото")</f>
        <v>Еще фото</v>
      </c>
      <c r="F2539" s="13"/>
      <c r="G2539" s="24" t="s">
        <v>2788</v>
      </c>
      <c r="H2539" s="24" t="s">
        <v>27</v>
      </c>
      <c r="I2539" s="24" t="s">
        <v>2784</v>
      </c>
      <c r="J2539" s="14" t="s">
        <v>47</v>
      </c>
      <c r="K2539" s="15" t="s">
        <v>54</v>
      </c>
      <c r="L2539" s="57"/>
      <c r="M2539" s="14"/>
      <c r="N2539" s="14" t="s">
        <v>67</v>
      </c>
      <c r="O2539" s="14"/>
      <c r="P2539" s="15" t="s">
        <v>2601</v>
      </c>
      <c r="Q2539" s="16">
        <v>2399</v>
      </c>
      <c r="R2539" s="17">
        <v>52.99</v>
      </c>
      <c r="S2539" s="18">
        <v>1296.9354999999998</v>
      </c>
      <c r="T2539" s="19" t="s">
        <v>36</v>
      </c>
      <c r="U2539" s="20" t="s">
        <v>128</v>
      </c>
      <c r="V2539" s="21" t="s">
        <v>129</v>
      </c>
      <c r="W2539" s="22">
        <v>5</v>
      </c>
      <c r="X2539" s="23"/>
    </row>
    <row r="2540" spans="1:24" s="1" customFormat="1" ht="21" customHeight="1" x14ac:dyDescent="0.3">
      <c r="A2540" s="24" t="s">
        <v>23</v>
      </c>
      <c r="B2540" s="24" t="s">
        <v>2791</v>
      </c>
      <c r="C2540" s="27" t="s">
        <v>2794</v>
      </c>
      <c r="D2540" s="54"/>
      <c r="E2540" s="39" t="str">
        <f>HYPERLINK("https://www.google.ru/search?q=6009720-520&amp;newwindow=1&amp;tbm=isch","Еще фото")</f>
        <v>Еще фото</v>
      </c>
      <c r="F2540" s="13"/>
      <c r="G2540" s="24" t="s">
        <v>2788</v>
      </c>
      <c r="H2540" s="24" t="s">
        <v>27</v>
      </c>
      <c r="I2540" s="24" t="s">
        <v>2784</v>
      </c>
      <c r="J2540" s="14" t="s">
        <v>47</v>
      </c>
      <c r="K2540" s="15" t="s">
        <v>54</v>
      </c>
      <c r="L2540" s="57"/>
      <c r="M2540" s="14"/>
      <c r="N2540" s="14" t="s">
        <v>67</v>
      </c>
      <c r="O2540" s="14"/>
      <c r="P2540" s="15" t="s">
        <v>2601</v>
      </c>
      <c r="Q2540" s="16">
        <v>2399</v>
      </c>
      <c r="R2540" s="17">
        <v>52.99</v>
      </c>
      <c r="S2540" s="18">
        <v>1296.9354999999998</v>
      </c>
      <c r="T2540" s="19" t="s">
        <v>36</v>
      </c>
      <c r="U2540" s="20" t="s">
        <v>59</v>
      </c>
      <c r="V2540" s="21" t="s">
        <v>60</v>
      </c>
      <c r="W2540" s="22">
        <v>12</v>
      </c>
      <c r="X2540" s="23"/>
    </row>
    <row r="2541" spans="1:24" s="1" customFormat="1" ht="32.1" customHeight="1" x14ac:dyDescent="0.3">
      <c r="A2541" s="24" t="s">
        <v>23</v>
      </c>
      <c r="B2541" s="24" t="s">
        <v>2791</v>
      </c>
      <c r="C2541" s="27" t="s">
        <v>2794</v>
      </c>
      <c r="D2541" s="55"/>
      <c r="E2541" s="39" t="str">
        <f>HYPERLINK("https://www.google.ru/search?q=6009720-520&amp;newwindow=1&amp;tbm=isch","Еще фото")</f>
        <v>Еще фото</v>
      </c>
      <c r="F2541" s="13"/>
      <c r="G2541" s="24" t="s">
        <v>2788</v>
      </c>
      <c r="H2541" s="24" t="s">
        <v>27</v>
      </c>
      <c r="I2541" s="24" t="s">
        <v>2784</v>
      </c>
      <c r="J2541" s="14" t="s">
        <v>47</v>
      </c>
      <c r="K2541" s="15" t="s">
        <v>54</v>
      </c>
      <c r="L2541" s="58"/>
      <c r="M2541" s="14"/>
      <c r="N2541" s="14" t="s">
        <v>67</v>
      </c>
      <c r="O2541" s="14"/>
      <c r="P2541" s="15" t="s">
        <v>2601</v>
      </c>
      <c r="Q2541" s="16">
        <v>2399</v>
      </c>
      <c r="R2541" s="17">
        <v>52.99</v>
      </c>
      <c r="S2541" s="18">
        <v>1296.9354999999998</v>
      </c>
      <c r="T2541" s="19" t="s">
        <v>36</v>
      </c>
      <c r="U2541" s="20" t="s">
        <v>130</v>
      </c>
      <c r="V2541" s="21" t="s">
        <v>131</v>
      </c>
      <c r="W2541" s="22">
        <v>1</v>
      </c>
      <c r="X2541" s="23"/>
    </row>
    <row r="2542" spans="1:24" s="1" customFormat="1" ht="21" customHeight="1" x14ac:dyDescent="0.3">
      <c r="A2542" s="11" t="s">
        <v>23</v>
      </c>
      <c r="B2542" s="11" t="s">
        <v>2795</v>
      </c>
      <c r="C2542" s="26" t="s">
        <v>2796</v>
      </c>
      <c r="D2542" s="53"/>
      <c r="E2542" s="39" t="str">
        <f>HYPERLINK("https://www.google.ru/search?q=6012660-100&amp;newwindow=1&amp;tbm=isch","Еще фото")</f>
        <v>Еще фото</v>
      </c>
      <c r="F2542" s="13"/>
      <c r="G2542" s="11" t="s">
        <v>2788</v>
      </c>
      <c r="H2542" s="11" t="s">
        <v>27</v>
      </c>
      <c r="I2542" s="14" t="s">
        <v>2784</v>
      </c>
      <c r="J2542" s="14" t="s">
        <v>892</v>
      </c>
      <c r="K2542" s="15" t="s">
        <v>54</v>
      </c>
      <c r="L2542" s="56" t="s">
        <v>2797</v>
      </c>
      <c r="M2542" s="14"/>
      <c r="N2542" s="14" t="s">
        <v>74</v>
      </c>
      <c r="O2542" s="14"/>
      <c r="P2542" s="15" t="s">
        <v>2601</v>
      </c>
      <c r="Q2542" s="16">
        <v>3599</v>
      </c>
      <c r="R2542" s="17">
        <v>49.77</v>
      </c>
      <c r="S2542" s="18">
        <v>2078.9354999999996</v>
      </c>
      <c r="T2542" s="19" t="s">
        <v>36</v>
      </c>
      <c r="U2542" s="20" t="s">
        <v>114</v>
      </c>
      <c r="V2542" s="21" t="s">
        <v>115</v>
      </c>
      <c r="W2542" s="22">
        <v>6</v>
      </c>
      <c r="X2542" s="23"/>
    </row>
    <row r="2543" spans="1:24" s="1" customFormat="1" ht="21" customHeight="1" x14ac:dyDescent="0.3">
      <c r="A2543" s="24" t="s">
        <v>23</v>
      </c>
      <c r="B2543" s="24" t="s">
        <v>2795</v>
      </c>
      <c r="C2543" s="27" t="s">
        <v>2796</v>
      </c>
      <c r="D2543" s="54"/>
      <c r="E2543" s="39" t="str">
        <f>HYPERLINK("https://www.google.ru/search?q=6012660-100&amp;newwindow=1&amp;tbm=isch","Еще фото")</f>
        <v>Еще фото</v>
      </c>
      <c r="F2543" s="13"/>
      <c r="G2543" s="24" t="s">
        <v>2788</v>
      </c>
      <c r="H2543" s="24" t="s">
        <v>27</v>
      </c>
      <c r="I2543" s="24" t="s">
        <v>2784</v>
      </c>
      <c r="J2543" s="14" t="s">
        <v>892</v>
      </c>
      <c r="K2543" s="15" t="s">
        <v>54</v>
      </c>
      <c r="L2543" s="57"/>
      <c r="M2543" s="14"/>
      <c r="N2543" s="14" t="s">
        <v>74</v>
      </c>
      <c r="O2543" s="14"/>
      <c r="P2543" s="15" t="s">
        <v>2601</v>
      </c>
      <c r="Q2543" s="16">
        <v>3599</v>
      </c>
      <c r="R2543" s="17">
        <v>49.77</v>
      </c>
      <c r="S2543" s="18">
        <v>2078.9354999999996</v>
      </c>
      <c r="T2543" s="19" t="s">
        <v>36</v>
      </c>
      <c r="U2543" s="20" t="s">
        <v>126</v>
      </c>
      <c r="V2543" s="21" t="s">
        <v>127</v>
      </c>
      <c r="W2543" s="22">
        <v>9</v>
      </c>
      <c r="X2543" s="23"/>
    </row>
    <row r="2544" spans="1:24" s="1" customFormat="1" ht="21" customHeight="1" x14ac:dyDescent="0.3">
      <c r="A2544" s="24" t="s">
        <v>23</v>
      </c>
      <c r="B2544" s="24" t="s">
        <v>2795</v>
      </c>
      <c r="C2544" s="27" t="s">
        <v>2796</v>
      </c>
      <c r="D2544" s="54"/>
      <c r="E2544" s="39" t="str">
        <f>HYPERLINK("https://www.google.ru/search?q=6012660-100&amp;newwindow=1&amp;tbm=isch","Еще фото")</f>
        <v>Еще фото</v>
      </c>
      <c r="F2544" s="13"/>
      <c r="G2544" s="24" t="s">
        <v>2788</v>
      </c>
      <c r="H2544" s="24" t="s">
        <v>27</v>
      </c>
      <c r="I2544" s="24" t="s">
        <v>2784</v>
      </c>
      <c r="J2544" s="14" t="s">
        <v>892</v>
      </c>
      <c r="K2544" s="15" t="s">
        <v>54</v>
      </c>
      <c r="L2544" s="57"/>
      <c r="M2544" s="14"/>
      <c r="N2544" s="14" t="s">
        <v>74</v>
      </c>
      <c r="O2544" s="14"/>
      <c r="P2544" s="15" t="s">
        <v>2601</v>
      </c>
      <c r="Q2544" s="16">
        <v>3599</v>
      </c>
      <c r="R2544" s="17">
        <v>49.77</v>
      </c>
      <c r="S2544" s="18">
        <v>2078.9354999999996</v>
      </c>
      <c r="T2544" s="19" t="s">
        <v>36</v>
      </c>
      <c r="U2544" s="20" t="s">
        <v>128</v>
      </c>
      <c r="V2544" s="21" t="s">
        <v>129</v>
      </c>
      <c r="W2544" s="22">
        <v>5</v>
      </c>
      <c r="X2544" s="23"/>
    </row>
    <row r="2545" spans="1:24" s="1" customFormat="1" ht="21" customHeight="1" x14ac:dyDescent="0.3">
      <c r="A2545" s="24" t="s">
        <v>23</v>
      </c>
      <c r="B2545" s="24" t="s">
        <v>2795</v>
      </c>
      <c r="C2545" s="27" t="s">
        <v>2796</v>
      </c>
      <c r="D2545" s="54"/>
      <c r="E2545" s="39" t="str">
        <f>HYPERLINK("https://www.google.ru/search?q=6012660-100&amp;newwindow=1&amp;tbm=isch","Еще фото")</f>
        <v>Еще фото</v>
      </c>
      <c r="F2545" s="13"/>
      <c r="G2545" s="24" t="s">
        <v>2788</v>
      </c>
      <c r="H2545" s="24" t="s">
        <v>27</v>
      </c>
      <c r="I2545" s="24" t="s">
        <v>2784</v>
      </c>
      <c r="J2545" s="14" t="s">
        <v>892</v>
      </c>
      <c r="K2545" s="15" t="s">
        <v>54</v>
      </c>
      <c r="L2545" s="57"/>
      <c r="M2545" s="14"/>
      <c r="N2545" s="14" t="s">
        <v>74</v>
      </c>
      <c r="O2545" s="14"/>
      <c r="P2545" s="15" t="s">
        <v>2601</v>
      </c>
      <c r="Q2545" s="16">
        <v>3599</v>
      </c>
      <c r="R2545" s="17">
        <v>49.77</v>
      </c>
      <c r="S2545" s="18">
        <v>2078.9354999999996</v>
      </c>
      <c r="T2545" s="19" t="s">
        <v>36</v>
      </c>
      <c r="U2545" s="20" t="s">
        <v>59</v>
      </c>
      <c r="V2545" s="21" t="s">
        <v>60</v>
      </c>
      <c r="W2545" s="22">
        <v>6</v>
      </c>
      <c r="X2545" s="23"/>
    </row>
    <row r="2546" spans="1:24" s="1" customFormat="1" ht="32.1" customHeight="1" x14ac:dyDescent="0.3">
      <c r="A2546" s="24" t="s">
        <v>23</v>
      </c>
      <c r="B2546" s="24" t="s">
        <v>2795</v>
      </c>
      <c r="C2546" s="27" t="s">
        <v>2796</v>
      </c>
      <c r="D2546" s="55"/>
      <c r="E2546" s="39" t="str">
        <f>HYPERLINK("https://www.google.ru/search?q=6012660-100&amp;newwindow=1&amp;tbm=isch","Еще фото")</f>
        <v>Еще фото</v>
      </c>
      <c r="F2546" s="13"/>
      <c r="G2546" s="24" t="s">
        <v>2788</v>
      </c>
      <c r="H2546" s="24" t="s">
        <v>27</v>
      </c>
      <c r="I2546" s="24" t="s">
        <v>2784</v>
      </c>
      <c r="J2546" s="14" t="s">
        <v>892</v>
      </c>
      <c r="K2546" s="15" t="s">
        <v>54</v>
      </c>
      <c r="L2546" s="58"/>
      <c r="M2546" s="14"/>
      <c r="N2546" s="14" t="s">
        <v>74</v>
      </c>
      <c r="O2546" s="14"/>
      <c r="P2546" s="15" t="s">
        <v>2601</v>
      </c>
      <c r="Q2546" s="16">
        <v>3599</v>
      </c>
      <c r="R2546" s="17">
        <v>49.77</v>
      </c>
      <c r="S2546" s="18">
        <v>2078.9354999999996</v>
      </c>
      <c r="T2546" s="19" t="s">
        <v>36</v>
      </c>
      <c r="U2546" s="20" t="s">
        <v>130</v>
      </c>
      <c r="V2546" s="21" t="s">
        <v>131</v>
      </c>
      <c r="W2546" s="22">
        <v>2</v>
      </c>
      <c r="X2546" s="23"/>
    </row>
    <row r="2547" spans="1:24" s="1" customFormat="1" ht="51.95" customHeight="1" x14ac:dyDescent="0.3">
      <c r="A2547" s="11" t="s">
        <v>23</v>
      </c>
      <c r="B2547" s="11" t="s">
        <v>2798</v>
      </c>
      <c r="C2547" s="12" t="s">
        <v>2799</v>
      </c>
      <c r="D2547" s="59"/>
      <c r="E2547" s="39" t="str">
        <f>HYPERLINK("https://www.google.ru/search?q=1386890-505&amp;newwindow=1&amp;tbm=isch","Еще фото")</f>
        <v>Еще фото</v>
      </c>
      <c r="F2547" s="13"/>
      <c r="G2547" s="11" t="s">
        <v>2788</v>
      </c>
      <c r="H2547" s="11" t="s">
        <v>27</v>
      </c>
      <c r="I2547" s="14" t="s">
        <v>2784</v>
      </c>
      <c r="J2547" s="14" t="s">
        <v>29</v>
      </c>
      <c r="K2547" s="15" t="s">
        <v>30</v>
      </c>
      <c r="L2547" s="56" t="s">
        <v>2800</v>
      </c>
      <c r="M2547" s="14"/>
      <c r="N2547" s="14" t="s">
        <v>67</v>
      </c>
      <c r="O2547" s="14"/>
      <c r="P2547" s="15" t="s">
        <v>2801</v>
      </c>
      <c r="Q2547" s="16">
        <v>8399</v>
      </c>
      <c r="R2547" s="17">
        <v>49.07</v>
      </c>
      <c r="S2547" s="18">
        <v>4919.4355000000005</v>
      </c>
      <c r="T2547" s="19" t="s">
        <v>36</v>
      </c>
      <c r="U2547" s="20" t="s">
        <v>69</v>
      </c>
      <c r="V2547" s="21" t="s">
        <v>75</v>
      </c>
      <c r="W2547" s="22">
        <v>3</v>
      </c>
      <c r="X2547" s="23"/>
    </row>
    <row r="2548" spans="1:24" s="1" customFormat="1" ht="60.95" customHeight="1" x14ac:dyDescent="0.3">
      <c r="A2548" s="24" t="s">
        <v>23</v>
      </c>
      <c r="B2548" s="24" t="s">
        <v>2798</v>
      </c>
      <c r="C2548" s="12" t="s">
        <v>2799</v>
      </c>
      <c r="D2548" s="60"/>
      <c r="E2548" s="39" t="str">
        <f>HYPERLINK("https://www.google.ru/search?q=1386890-505&amp;newwindow=1&amp;tbm=isch","Еще фото")</f>
        <v>Еще фото</v>
      </c>
      <c r="F2548" s="13"/>
      <c r="G2548" s="24" t="s">
        <v>2788</v>
      </c>
      <c r="H2548" s="24" t="s">
        <v>27</v>
      </c>
      <c r="I2548" s="24" t="s">
        <v>2784</v>
      </c>
      <c r="J2548" s="14" t="s">
        <v>29</v>
      </c>
      <c r="K2548" s="15" t="s">
        <v>30</v>
      </c>
      <c r="L2548" s="58"/>
      <c r="M2548" s="14"/>
      <c r="N2548" s="14" t="s">
        <v>67</v>
      </c>
      <c r="O2548" s="14"/>
      <c r="P2548" s="15" t="s">
        <v>2801</v>
      </c>
      <c r="Q2548" s="16">
        <v>8399</v>
      </c>
      <c r="R2548" s="17">
        <v>49.07</v>
      </c>
      <c r="S2548" s="18">
        <v>4919.4355000000005</v>
      </c>
      <c r="T2548" s="19" t="s">
        <v>36</v>
      </c>
      <c r="U2548" s="20" t="s">
        <v>37</v>
      </c>
      <c r="V2548" s="21" t="s">
        <v>38</v>
      </c>
      <c r="W2548" s="22">
        <v>1</v>
      </c>
      <c r="X2548" s="23"/>
    </row>
    <row r="2549" spans="1:24" s="1" customFormat="1" ht="51.95" customHeight="1" x14ac:dyDescent="0.3">
      <c r="A2549" s="11" t="s">
        <v>23</v>
      </c>
      <c r="B2549" s="11" t="s">
        <v>2802</v>
      </c>
      <c r="C2549" s="12" t="s">
        <v>2803</v>
      </c>
      <c r="D2549" s="59"/>
      <c r="E2549" s="39" t="str">
        <f>HYPERLINK("https://www.google.ru/search?q=1389846-709&amp;newwindow=1&amp;tbm=isch","Еще фото")</f>
        <v>Еще фото</v>
      </c>
      <c r="F2549" s="13"/>
      <c r="G2549" s="11" t="s">
        <v>2804</v>
      </c>
      <c r="H2549" s="11" t="s">
        <v>27</v>
      </c>
      <c r="I2549" s="14" t="s">
        <v>2784</v>
      </c>
      <c r="J2549" s="14" t="s">
        <v>212</v>
      </c>
      <c r="K2549" s="15" t="s">
        <v>30</v>
      </c>
      <c r="L2549" s="56" t="s">
        <v>2805</v>
      </c>
      <c r="M2549" s="14"/>
      <c r="N2549" s="14" t="s">
        <v>125</v>
      </c>
      <c r="O2549" s="14"/>
      <c r="P2549" s="15" t="s">
        <v>2806</v>
      </c>
      <c r="Q2549" s="16">
        <v>7699</v>
      </c>
      <c r="R2549" s="17">
        <v>48.85</v>
      </c>
      <c r="S2549" s="18">
        <v>4528.4354999999996</v>
      </c>
      <c r="T2549" s="19" t="s">
        <v>36</v>
      </c>
      <c r="U2549" s="20" t="s">
        <v>39</v>
      </c>
      <c r="V2549" s="21" t="s">
        <v>40</v>
      </c>
      <c r="W2549" s="22">
        <v>6</v>
      </c>
      <c r="X2549" s="23"/>
    </row>
    <row r="2550" spans="1:24" s="1" customFormat="1" ht="60.95" customHeight="1" x14ac:dyDescent="0.3">
      <c r="A2550" s="24" t="s">
        <v>23</v>
      </c>
      <c r="B2550" s="24" t="s">
        <v>2802</v>
      </c>
      <c r="C2550" s="12" t="s">
        <v>2803</v>
      </c>
      <c r="D2550" s="60"/>
      <c r="E2550" s="39" t="str">
        <f>HYPERLINK("https://www.google.ru/search?q=1389846-709&amp;newwindow=1&amp;tbm=isch","Еще фото")</f>
        <v>Еще фото</v>
      </c>
      <c r="F2550" s="13"/>
      <c r="G2550" s="24" t="s">
        <v>2804</v>
      </c>
      <c r="H2550" s="24" t="s">
        <v>27</v>
      </c>
      <c r="I2550" s="24" t="s">
        <v>2784</v>
      </c>
      <c r="J2550" s="14" t="s">
        <v>212</v>
      </c>
      <c r="K2550" s="15" t="s">
        <v>30</v>
      </c>
      <c r="L2550" s="58"/>
      <c r="M2550" s="14"/>
      <c r="N2550" s="14" t="s">
        <v>125</v>
      </c>
      <c r="O2550" s="14"/>
      <c r="P2550" s="15" t="s">
        <v>2806</v>
      </c>
      <c r="Q2550" s="16">
        <v>7699</v>
      </c>
      <c r="R2550" s="17">
        <v>48.85</v>
      </c>
      <c r="S2550" s="18">
        <v>4528.4354999999996</v>
      </c>
      <c r="T2550" s="19" t="s">
        <v>36</v>
      </c>
      <c r="U2550" s="20" t="s">
        <v>43</v>
      </c>
      <c r="V2550" s="21" t="s">
        <v>44</v>
      </c>
      <c r="W2550" s="22">
        <v>5</v>
      </c>
      <c r="X2550" s="23"/>
    </row>
    <row r="2551" spans="1:24" s="1" customFormat="1" ht="108" customHeight="1" x14ac:dyDescent="0.3">
      <c r="A2551" s="11" t="s">
        <v>23</v>
      </c>
      <c r="B2551" s="11" t="s">
        <v>2807</v>
      </c>
      <c r="C2551" s="12" t="s">
        <v>2808</v>
      </c>
      <c r="D2551" s="25"/>
      <c r="E2551" s="39" t="str">
        <f>HYPERLINK("https://www.google.ru/search?q=1389827-001&amp;newwindow=1&amp;tbm=isch","Еще фото")</f>
        <v>Еще фото</v>
      </c>
      <c r="F2551" s="13"/>
      <c r="G2551" s="11" t="s">
        <v>2809</v>
      </c>
      <c r="H2551" s="11" t="s">
        <v>27</v>
      </c>
      <c r="I2551" s="14" t="s">
        <v>2784</v>
      </c>
      <c r="J2551" s="14" t="s">
        <v>29</v>
      </c>
      <c r="K2551" s="15" t="s">
        <v>64</v>
      </c>
      <c r="L2551" s="14" t="s">
        <v>2810</v>
      </c>
      <c r="M2551" s="14"/>
      <c r="N2551" s="14" t="s">
        <v>33</v>
      </c>
      <c r="O2551" s="14"/>
      <c r="P2551" s="15" t="s">
        <v>100</v>
      </c>
      <c r="Q2551" s="16">
        <v>7599</v>
      </c>
      <c r="R2551" s="17">
        <v>48.84</v>
      </c>
      <c r="S2551" s="18">
        <v>4470.9354999999996</v>
      </c>
      <c r="T2551" s="19" t="s">
        <v>36</v>
      </c>
      <c r="U2551" s="20" t="s">
        <v>2811</v>
      </c>
      <c r="V2551" s="21" t="s">
        <v>2812</v>
      </c>
      <c r="W2551" s="22">
        <v>7</v>
      </c>
      <c r="X2551" s="23"/>
    </row>
    <row r="2552" spans="1:24" s="1" customFormat="1" ht="35.1" customHeight="1" x14ac:dyDescent="0.3">
      <c r="A2552" s="11" t="s">
        <v>23</v>
      </c>
      <c r="B2552" s="11" t="s">
        <v>2813</v>
      </c>
      <c r="C2552" s="12" t="s">
        <v>2814</v>
      </c>
      <c r="D2552" s="53"/>
      <c r="E2552" s="39" t="str">
        <f>HYPERLINK("https://www.google.ru/search?q=6005083-279&amp;newwindow=1&amp;tbm=isch","Еще фото")</f>
        <v>Еще фото</v>
      </c>
      <c r="F2552" s="13"/>
      <c r="G2552" s="11" t="s">
        <v>2788</v>
      </c>
      <c r="H2552" s="11" t="s">
        <v>27</v>
      </c>
      <c r="I2552" s="14" t="s">
        <v>2784</v>
      </c>
      <c r="J2552" s="14" t="s">
        <v>47</v>
      </c>
      <c r="K2552" s="15" t="s">
        <v>64</v>
      </c>
      <c r="L2552" s="56" t="s">
        <v>2815</v>
      </c>
      <c r="M2552" s="14"/>
      <c r="N2552" s="14" t="s">
        <v>249</v>
      </c>
      <c r="O2552" s="14"/>
      <c r="P2552" s="15" t="s">
        <v>2601</v>
      </c>
      <c r="Q2552" s="16">
        <v>4899</v>
      </c>
      <c r="R2552" s="17">
        <v>48.81</v>
      </c>
      <c r="S2552" s="18">
        <v>2883.9354999999996</v>
      </c>
      <c r="T2552" s="19" t="s">
        <v>36</v>
      </c>
      <c r="U2552" s="20" t="s">
        <v>69</v>
      </c>
      <c r="V2552" s="21" t="s">
        <v>70</v>
      </c>
      <c r="W2552" s="22">
        <v>10</v>
      </c>
      <c r="X2552" s="23"/>
    </row>
    <row r="2553" spans="1:24" s="1" customFormat="1" ht="35.1" customHeight="1" x14ac:dyDescent="0.3">
      <c r="A2553" s="24" t="s">
        <v>23</v>
      </c>
      <c r="B2553" s="24" t="s">
        <v>2813</v>
      </c>
      <c r="C2553" s="12" t="s">
        <v>2814</v>
      </c>
      <c r="D2553" s="54"/>
      <c r="E2553" s="39" t="str">
        <f>HYPERLINK("https://www.google.ru/search?q=6005083-279&amp;newwindow=1&amp;tbm=isch","Еще фото")</f>
        <v>Еще фото</v>
      </c>
      <c r="F2553" s="13"/>
      <c r="G2553" s="24" t="s">
        <v>2788</v>
      </c>
      <c r="H2553" s="24" t="s">
        <v>27</v>
      </c>
      <c r="I2553" s="24" t="s">
        <v>2784</v>
      </c>
      <c r="J2553" s="14" t="s">
        <v>47</v>
      </c>
      <c r="K2553" s="15" t="s">
        <v>64</v>
      </c>
      <c r="L2553" s="57"/>
      <c r="M2553" s="14"/>
      <c r="N2553" s="14" t="s">
        <v>249</v>
      </c>
      <c r="O2553" s="14"/>
      <c r="P2553" s="15" t="s">
        <v>2601</v>
      </c>
      <c r="Q2553" s="16">
        <v>4899</v>
      </c>
      <c r="R2553" s="17">
        <v>48.81</v>
      </c>
      <c r="S2553" s="18">
        <v>2883.9354999999996</v>
      </c>
      <c r="T2553" s="19" t="s">
        <v>36</v>
      </c>
      <c r="U2553" s="20" t="s">
        <v>37</v>
      </c>
      <c r="V2553" s="21" t="s">
        <v>86</v>
      </c>
      <c r="W2553" s="22">
        <v>11</v>
      </c>
      <c r="X2553" s="23"/>
    </row>
    <row r="2554" spans="1:24" s="1" customFormat="1" ht="36.950000000000003" customHeight="1" x14ac:dyDescent="0.3">
      <c r="A2554" s="24" t="s">
        <v>23</v>
      </c>
      <c r="B2554" s="24" t="s">
        <v>2813</v>
      </c>
      <c r="C2554" s="12" t="s">
        <v>2814</v>
      </c>
      <c r="D2554" s="55"/>
      <c r="E2554" s="39" t="str">
        <f>HYPERLINK("https://www.google.ru/search?q=6005083-279&amp;newwindow=1&amp;tbm=isch","Еще фото")</f>
        <v>Еще фото</v>
      </c>
      <c r="F2554" s="13"/>
      <c r="G2554" s="24" t="s">
        <v>2788</v>
      </c>
      <c r="H2554" s="24" t="s">
        <v>27</v>
      </c>
      <c r="I2554" s="24" t="s">
        <v>2784</v>
      </c>
      <c r="J2554" s="14" t="s">
        <v>47</v>
      </c>
      <c r="K2554" s="15" t="s">
        <v>64</v>
      </c>
      <c r="L2554" s="58"/>
      <c r="M2554" s="14"/>
      <c r="N2554" s="14" t="s">
        <v>249</v>
      </c>
      <c r="O2554" s="14"/>
      <c r="P2554" s="15" t="s">
        <v>2601</v>
      </c>
      <c r="Q2554" s="16">
        <v>4899</v>
      </c>
      <c r="R2554" s="17">
        <v>48.81</v>
      </c>
      <c r="S2554" s="18">
        <v>2883.9354999999996</v>
      </c>
      <c r="T2554" s="19" t="s">
        <v>36</v>
      </c>
      <c r="U2554" s="20" t="s">
        <v>39</v>
      </c>
      <c r="V2554" s="21" t="s">
        <v>38</v>
      </c>
      <c r="W2554" s="22">
        <v>10</v>
      </c>
      <c r="X2554" s="23"/>
    </row>
    <row r="2555" spans="1:24" s="1" customFormat="1" ht="26.1" customHeight="1" x14ac:dyDescent="0.3">
      <c r="A2555" s="11" t="s">
        <v>23</v>
      </c>
      <c r="B2555" s="11" t="s">
        <v>2816</v>
      </c>
      <c r="C2555" s="12" t="s">
        <v>2817</v>
      </c>
      <c r="D2555" s="53"/>
      <c r="E2555" s="39" t="str">
        <f>HYPERLINK("https://www.google.ru/search?q=6007621-001&amp;newwindow=1&amp;tbm=isch","Еще фото")</f>
        <v>Еще фото</v>
      </c>
      <c r="F2555" s="13"/>
      <c r="G2555" s="11" t="s">
        <v>2818</v>
      </c>
      <c r="H2555" s="11" t="s">
        <v>27</v>
      </c>
      <c r="I2555" s="14" t="s">
        <v>2784</v>
      </c>
      <c r="J2555" s="14" t="s">
        <v>47</v>
      </c>
      <c r="K2555" s="15" t="s">
        <v>30</v>
      </c>
      <c r="L2555" s="56" t="s">
        <v>2819</v>
      </c>
      <c r="M2555" s="14"/>
      <c r="N2555" s="14" t="s">
        <v>33</v>
      </c>
      <c r="O2555" s="14"/>
      <c r="P2555" s="15" t="s">
        <v>2820</v>
      </c>
      <c r="Q2555" s="16">
        <v>5599</v>
      </c>
      <c r="R2555" s="17">
        <v>48.78</v>
      </c>
      <c r="S2555" s="18">
        <v>3297.9354999999996</v>
      </c>
      <c r="T2555" s="19" t="s">
        <v>36</v>
      </c>
      <c r="U2555" s="20" t="s">
        <v>37</v>
      </c>
      <c r="V2555" s="21" t="s">
        <v>38</v>
      </c>
      <c r="W2555" s="22">
        <v>13</v>
      </c>
      <c r="X2555" s="23"/>
    </row>
    <row r="2556" spans="1:24" s="1" customFormat="1" ht="26.1" customHeight="1" x14ac:dyDescent="0.3">
      <c r="A2556" s="24" t="s">
        <v>23</v>
      </c>
      <c r="B2556" s="24" t="s">
        <v>2816</v>
      </c>
      <c r="C2556" s="12" t="s">
        <v>2817</v>
      </c>
      <c r="D2556" s="54"/>
      <c r="E2556" s="39" t="str">
        <f>HYPERLINK("https://www.google.ru/search?q=6007621-001&amp;newwindow=1&amp;tbm=isch","Еще фото")</f>
        <v>Еще фото</v>
      </c>
      <c r="F2556" s="13"/>
      <c r="G2556" s="24" t="s">
        <v>2818</v>
      </c>
      <c r="H2556" s="24" t="s">
        <v>27</v>
      </c>
      <c r="I2556" s="24" t="s">
        <v>2784</v>
      </c>
      <c r="J2556" s="14" t="s">
        <v>47</v>
      </c>
      <c r="K2556" s="15" t="s">
        <v>30</v>
      </c>
      <c r="L2556" s="57"/>
      <c r="M2556" s="14"/>
      <c r="N2556" s="14" t="s">
        <v>33</v>
      </c>
      <c r="O2556" s="14"/>
      <c r="P2556" s="15" t="s">
        <v>2820</v>
      </c>
      <c r="Q2556" s="16">
        <v>5599</v>
      </c>
      <c r="R2556" s="17">
        <v>48.78</v>
      </c>
      <c r="S2556" s="18">
        <v>3297.9354999999996</v>
      </c>
      <c r="T2556" s="19" t="s">
        <v>36</v>
      </c>
      <c r="U2556" s="20" t="s">
        <v>39</v>
      </c>
      <c r="V2556" s="21" t="s">
        <v>40</v>
      </c>
      <c r="W2556" s="22">
        <v>37</v>
      </c>
      <c r="X2556" s="23"/>
    </row>
    <row r="2557" spans="1:24" s="1" customFormat="1" ht="26.1" customHeight="1" x14ac:dyDescent="0.3">
      <c r="A2557" s="24" t="s">
        <v>23</v>
      </c>
      <c r="B2557" s="24" t="s">
        <v>2816</v>
      </c>
      <c r="C2557" s="12" t="s">
        <v>2817</v>
      </c>
      <c r="D2557" s="54"/>
      <c r="E2557" s="39" t="str">
        <f>HYPERLINK("https://www.google.ru/search?q=6007621-001&amp;newwindow=1&amp;tbm=isch","Еще фото")</f>
        <v>Еще фото</v>
      </c>
      <c r="F2557" s="13"/>
      <c r="G2557" s="24" t="s">
        <v>2818</v>
      </c>
      <c r="H2557" s="24" t="s">
        <v>27</v>
      </c>
      <c r="I2557" s="24" t="s">
        <v>2784</v>
      </c>
      <c r="J2557" s="14" t="s">
        <v>47</v>
      </c>
      <c r="K2557" s="15" t="s">
        <v>30</v>
      </c>
      <c r="L2557" s="57"/>
      <c r="M2557" s="14"/>
      <c r="N2557" s="14" t="s">
        <v>33</v>
      </c>
      <c r="O2557" s="14"/>
      <c r="P2557" s="15" t="s">
        <v>2820</v>
      </c>
      <c r="Q2557" s="16">
        <v>5599</v>
      </c>
      <c r="R2557" s="17">
        <v>48.78</v>
      </c>
      <c r="S2557" s="18">
        <v>3297.9354999999996</v>
      </c>
      <c r="T2557" s="19" t="s">
        <v>36</v>
      </c>
      <c r="U2557" s="20" t="s">
        <v>41</v>
      </c>
      <c r="V2557" s="21" t="s">
        <v>42</v>
      </c>
      <c r="W2557" s="22">
        <v>29</v>
      </c>
      <c r="X2557" s="23"/>
    </row>
    <row r="2558" spans="1:24" s="1" customFormat="1" ht="26.1" customHeight="1" x14ac:dyDescent="0.3">
      <c r="A2558" s="24" t="s">
        <v>23</v>
      </c>
      <c r="B2558" s="24" t="s">
        <v>2816</v>
      </c>
      <c r="C2558" s="12" t="s">
        <v>2817</v>
      </c>
      <c r="D2558" s="55"/>
      <c r="E2558" s="39" t="str">
        <f>HYPERLINK("https://www.google.ru/search?q=6007621-001&amp;newwindow=1&amp;tbm=isch","Еще фото")</f>
        <v>Еще фото</v>
      </c>
      <c r="F2558" s="13"/>
      <c r="G2558" s="24" t="s">
        <v>2818</v>
      </c>
      <c r="H2558" s="24" t="s">
        <v>27</v>
      </c>
      <c r="I2558" s="24" t="s">
        <v>2784</v>
      </c>
      <c r="J2558" s="14" t="s">
        <v>47</v>
      </c>
      <c r="K2558" s="15" t="s">
        <v>30</v>
      </c>
      <c r="L2558" s="58"/>
      <c r="M2558" s="14"/>
      <c r="N2558" s="14" t="s">
        <v>33</v>
      </c>
      <c r="O2558" s="14"/>
      <c r="P2558" s="15" t="s">
        <v>2820</v>
      </c>
      <c r="Q2558" s="16">
        <v>5599</v>
      </c>
      <c r="R2558" s="17">
        <v>48.78</v>
      </c>
      <c r="S2558" s="18">
        <v>3297.9354999999996</v>
      </c>
      <c r="T2558" s="19" t="s">
        <v>36</v>
      </c>
      <c r="U2558" s="20" t="s">
        <v>43</v>
      </c>
      <c r="V2558" s="21" t="s">
        <v>44</v>
      </c>
      <c r="W2558" s="22">
        <v>12</v>
      </c>
      <c r="X2558" s="23"/>
    </row>
    <row r="2559" spans="1:24" s="1" customFormat="1" ht="21" customHeight="1" x14ac:dyDescent="0.3">
      <c r="A2559" s="11" t="s">
        <v>23</v>
      </c>
      <c r="B2559" s="11" t="s">
        <v>2816</v>
      </c>
      <c r="C2559" s="26" t="s">
        <v>2821</v>
      </c>
      <c r="D2559" s="53"/>
      <c r="E2559" s="39" t="str">
        <f>HYPERLINK("https://www.google.ru/search?q=6007621-100&amp;newwindow=1&amp;tbm=isch","Еще фото")</f>
        <v>Еще фото</v>
      </c>
      <c r="F2559" s="13"/>
      <c r="G2559" s="11" t="s">
        <v>2818</v>
      </c>
      <c r="H2559" s="11" t="s">
        <v>27</v>
      </c>
      <c r="I2559" s="14" t="s">
        <v>2784</v>
      </c>
      <c r="J2559" s="14" t="s">
        <v>47</v>
      </c>
      <c r="K2559" s="15" t="s">
        <v>30</v>
      </c>
      <c r="L2559" s="56" t="s">
        <v>2819</v>
      </c>
      <c r="M2559" s="14"/>
      <c r="N2559" s="14" t="s">
        <v>74</v>
      </c>
      <c r="O2559" s="14"/>
      <c r="P2559" s="15" t="s">
        <v>2820</v>
      </c>
      <c r="Q2559" s="16">
        <v>5599</v>
      </c>
      <c r="R2559" s="17">
        <v>48.78</v>
      </c>
      <c r="S2559" s="18">
        <v>3297.9354999999996</v>
      </c>
      <c r="T2559" s="19" t="s">
        <v>36</v>
      </c>
      <c r="U2559" s="20" t="s">
        <v>37</v>
      </c>
      <c r="V2559" s="21" t="s">
        <v>38</v>
      </c>
      <c r="W2559" s="22">
        <v>13</v>
      </c>
      <c r="X2559" s="23"/>
    </row>
    <row r="2560" spans="1:24" s="1" customFormat="1" ht="21" customHeight="1" x14ac:dyDescent="0.3">
      <c r="A2560" s="24" t="s">
        <v>23</v>
      </c>
      <c r="B2560" s="24" t="s">
        <v>2816</v>
      </c>
      <c r="C2560" s="27" t="s">
        <v>2821</v>
      </c>
      <c r="D2560" s="54"/>
      <c r="E2560" s="39" t="str">
        <f>HYPERLINK("https://www.google.ru/search?q=6007621-100&amp;newwindow=1&amp;tbm=isch","Еще фото")</f>
        <v>Еще фото</v>
      </c>
      <c r="F2560" s="13"/>
      <c r="G2560" s="24" t="s">
        <v>2818</v>
      </c>
      <c r="H2560" s="24" t="s">
        <v>27</v>
      </c>
      <c r="I2560" s="24" t="s">
        <v>2784</v>
      </c>
      <c r="J2560" s="14" t="s">
        <v>47</v>
      </c>
      <c r="K2560" s="15" t="s">
        <v>30</v>
      </c>
      <c r="L2560" s="57"/>
      <c r="M2560" s="14"/>
      <c r="N2560" s="14" t="s">
        <v>74</v>
      </c>
      <c r="O2560" s="14"/>
      <c r="P2560" s="15" t="s">
        <v>2820</v>
      </c>
      <c r="Q2560" s="16">
        <v>5599</v>
      </c>
      <c r="R2560" s="17">
        <v>48.78</v>
      </c>
      <c r="S2560" s="18">
        <v>3297.9354999999996</v>
      </c>
      <c r="T2560" s="19" t="s">
        <v>36</v>
      </c>
      <c r="U2560" s="20" t="s">
        <v>39</v>
      </c>
      <c r="V2560" s="21" t="s">
        <v>40</v>
      </c>
      <c r="W2560" s="22">
        <v>27</v>
      </c>
      <c r="X2560" s="23"/>
    </row>
    <row r="2561" spans="1:24" s="1" customFormat="1" ht="21" customHeight="1" x14ac:dyDescent="0.3">
      <c r="A2561" s="24" t="s">
        <v>23</v>
      </c>
      <c r="B2561" s="24" t="s">
        <v>2816</v>
      </c>
      <c r="C2561" s="27" t="s">
        <v>2821</v>
      </c>
      <c r="D2561" s="54"/>
      <c r="E2561" s="39" t="str">
        <f>HYPERLINK("https://www.google.ru/search?q=6007621-100&amp;newwindow=1&amp;tbm=isch","Еще фото")</f>
        <v>Еще фото</v>
      </c>
      <c r="F2561" s="13"/>
      <c r="G2561" s="24" t="s">
        <v>2818</v>
      </c>
      <c r="H2561" s="24" t="s">
        <v>27</v>
      </c>
      <c r="I2561" s="24" t="s">
        <v>2784</v>
      </c>
      <c r="J2561" s="14" t="s">
        <v>47</v>
      </c>
      <c r="K2561" s="15" t="s">
        <v>30</v>
      </c>
      <c r="L2561" s="57"/>
      <c r="M2561" s="14"/>
      <c r="N2561" s="14" t="s">
        <v>74</v>
      </c>
      <c r="O2561" s="14"/>
      <c r="P2561" s="15" t="s">
        <v>2820</v>
      </c>
      <c r="Q2561" s="16">
        <v>5599</v>
      </c>
      <c r="R2561" s="17">
        <v>48.78</v>
      </c>
      <c r="S2561" s="18">
        <v>3297.9354999999996</v>
      </c>
      <c r="T2561" s="19" t="s">
        <v>36</v>
      </c>
      <c r="U2561" s="20" t="s">
        <v>41</v>
      </c>
      <c r="V2561" s="21" t="s">
        <v>42</v>
      </c>
      <c r="W2561" s="22">
        <v>18</v>
      </c>
      <c r="X2561" s="23"/>
    </row>
    <row r="2562" spans="1:24" s="1" customFormat="1" ht="21" customHeight="1" x14ac:dyDescent="0.3">
      <c r="A2562" s="24" t="s">
        <v>23</v>
      </c>
      <c r="B2562" s="24" t="s">
        <v>2816</v>
      </c>
      <c r="C2562" s="27" t="s">
        <v>2821</v>
      </c>
      <c r="D2562" s="54"/>
      <c r="E2562" s="39" t="str">
        <f>HYPERLINK("https://www.google.ru/search?q=6007621-100&amp;newwindow=1&amp;tbm=isch","Еще фото")</f>
        <v>Еще фото</v>
      </c>
      <c r="F2562" s="13"/>
      <c r="G2562" s="24" t="s">
        <v>2818</v>
      </c>
      <c r="H2562" s="24" t="s">
        <v>27</v>
      </c>
      <c r="I2562" s="24" t="s">
        <v>2784</v>
      </c>
      <c r="J2562" s="14" t="s">
        <v>47</v>
      </c>
      <c r="K2562" s="15" t="s">
        <v>30</v>
      </c>
      <c r="L2562" s="57"/>
      <c r="M2562" s="14"/>
      <c r="N2562" s="14" t="s">
        <v>74</v>
      </c>
      <c r="O2562" s="14"/>
      <c r="P2562" s="15" t="s">
        <v>2820</v>
      </c>
      <c r="Q2562" s="16">
        <v>5599</v>
      </c>
      <c r="R2562" s="17">
        <v>48.78</v>
      </c>
      <c r="S2562" s="18">
        <v>3297.9354999999996</v>
      </c>
      <c r="T2562" s="19" t="s">
        <v>36</v>
      </c>
      <c r="U2562" s="20" t="s">
        <v>43</v>
      </c>
      <c r="V2562" s="21" t="s">
        <v>44</v>
      </c>
      <c r="W2562" s="22">
        <v>7</v>
      </c>
      <c r="X2562" s="23"/>
    </row>
    <row r="2563" spans="1:24" s="1" customFormat="1" ht="32.1" customHeight="1" x14ac:dyDescent="0.3">
      <c r="A2563" s="24" t="s">
        <v>23</v>
      </c>
      <c r="B2563" s="24" t="s">
        <v>2816</v>
      </c>
      <c r="C2563" s="27" t="s">
        <v>2821</v>
      </c>
      <c r="D2563" s="55"/>
      <c r="E2563" s="39" t="str">
        <f>HYPERLINK("https://www.google.ru/search?q=6007621-100&amp;newwindow=1&amp;tbm=isch","Еще фото")</f>
        <v>Еще фото</v>
      </c>
      <c r="F2563" s="13"/>
      <c r="G2563" s="24" t="s">
        <v>2818</v>
      </c>
      <c r="H2563" s="24" t="s">
        <v>27</v>
      </c>
      <c r="I2563" s="24" t="s">
        <v>2784</v>
      </c>
      <c r="J2563" s="14" t="s">
        <v>47</v>
      </c>
      <c r="K2563" s="15" t="s">
        <v>30</v>
      </c>
      <c r="L2563" s="58"/>
      <c r="M2563" s="14"/>
      <c r="N2563" s="14" t="s">
        <v>74</v>
      </c>
      <c r="O2563" s="14"/>
      <c r="P2563" s="15" t="s">
        <v>2820</v>
      </c>
      <c r="Q2563" s="16">
        <v>5599</v>
      </c>
      <c r="R2563" s="17">
        <v>48.78</v>
      </c>
      <c r="S2563" s="18">
        <v>3297.9354999999996</v>
      </c>
      <c r="T2563" s="19" t="s">
        <v>36</v>
      </c>
      <c r="U2563" s="20" t="s">
        <v>104</v>
      </c>
      <c r="V2563" s="21" t="s">
        <v>105</v>
      </c>
      <c r="W2563" s="22">
        <v>3</v>
      </c>
      <c r="X2563" s="23"/>
    </row>
    <row r="2564" spans="1:24" s="1" customFormat="1" ht="108" customHeight="1" x14ac:dyDescent="0.3">
      <c r="A2564" s="11" t="s">
        <v>23</v>
      </c>
      <c r="B2564" s="11" t="s">
        <v>2822</v>
      </c>
      <c r="C2564" s="12" t="s">
        <v>2823</v>
      </c>
      <c r="D2564" s="25"/>
      <c r="E2564" s="39" t="str">
        <f>HYPERLINK("https://www.google.ru/search?q=1379178-538&amp;newwindow=1&amp;tbm=isch","Еще фото")</f>
        <v>Еще фото</v>
      </c>
      <c r="F2564" s="13"/>
      <c r="G2564" s="11" t="s">
        <v>2788</v>
      </c>
      <c r="H2564" s="11" t="s">
        <v>27</v>
      </c>
      <c r="I2564" s="14" t="s">
        <v>2784</v>
      </c>
      <c r="J2564" s="14" t="s">
        <v>29</v>
      </c>
      <c r="K2564" s="15" t="s">
        <v>64</v>
      </c>
      <c r="L2564" s="14" t="s">
        <v>2824</v>
      </c>
      <c r="M2564" s="14"/>
      <c r="N2564" s="14" t="s">
        <v>67</v>
      </c>
      <c r="O2564" s="14"/>
      <c r="P2564" s="15" t="s">
        <v>185</v>
      </c>
      <c r="Q2564" s="16">
        <v>2699</v>
      </c>
      <c r="R2564" s="17">
        <v>48.13</v>
      </c>
      <c r="S2564" s="18">
        <v>1609.9884999999999</v>
      </c>
      <c r="T2564" s="19" t="s">
        <v>36</v>
      </c>
      <c r="U2564" s="20" t="s">
        <v>43</v>
      </c>
      <c r="V2564" s="21" t="s">
        <v>42</v>
      </c>
      <c r="W2564" s="22">
        <v>1</v>
      </c>
      <c r="X2564" s="23"/>
    </row>
    <row r="2565" spans="1:24" s="1" customFormat="1" ht="108" customHeight="1" x14ac:dyDescent="0.3">
      <c r="A2565" s="11" t="s">
        <v>23</v>
      </c>
      <c r="B2565" s="11" t="s">
        <v>2825</v>
      </c>
      <c r="C2565" s="12" t="s">
        <v>2826</v>
      </c>
      <c r="D2565" s="25"/>
      <c r="E2565" s="39" t="str">
        <f>HYPERLINK("https://www.google.ru/search?q=6010592-025&amp;newwindow=1&amp;tbm=isch","Еще фото")</f>
        <v>Еще фото</v>
      </c>
      <c r="F2565" s="13"/>
      <c r="G2565" s="11" t="s">
        <v>2788</v>
      </c>
      <c r="H2565" s="11" t="s">
        <v>27</v>
      </c>
      <c r="I2565" s="14" t="s">
        <v>2784</v>
      </c>
      <c r="J2565" s="14" t="s">
        <v>47</v>
      </c>
      <c r="K2565" s="15" t="s">
        <v>64</v>
      </c>
      <c r="L2565" s="14" t="s">
        <v>2827</v>
      </c>
      <c r="M2565" s="14"/>
      <c r="N2565" s="14" t="s">
        <v>84</v>
      </c>
      <c r="O2565" s="14"/>
      <c r="P2565" s="15" t="s">
        <v>2601</v>
      </c>
      <c r="Q2565" s="16">
        <v>2699</v>
      </c>
      <c r="R2565" s="17">
        <v>48.13</v>
      </c>
      <c r="S2565" s="18">
        <v>1609.9884999999999</v>
      </c>
      <c r="T2565" s="19" t="s">
        <v>36</v>
      </c>
      <c r="U2565" s="20" t="s">
        <v>69</v>
      </c>
      <c r="V2565" s="21" t="s">
        <v>70</v>
      </c>
      <c r="W2565" s="22">
        <v>1</v>
      </c>
      <c r="X2565" s="23"/>
    </row>
    <row r="2566" spans="1:24" s="1" customFormat="1" ht="108" customHeight="1" x14ac:dyDescent="0.3">
      <c r="A2566" s="11" t="s">
        <v>23</v>
      </c>
      <c r="B2566" s="11" t="s">
        <v>2828</v>
      </c>
      <c r="C2566" s="12" t="s">
        <v>2829</v>
      </c>
      <c r="D2566" s="25"/>
      <c r="E2566" s="39" t="str">
        <f>HYPERLINK("https://www.google.ru/search?q=6011064-023&amp;newwindow=1&amp;tbm=isch","Еще фото")</f>
        <v>Еще фото</v>
      </c>
      <c r="F2566" s="13"/>
      <c r="G2566" s="11" t="s">
        <v>2788</v>
      </c>
      <c r="H2566" s="11" t="s">
        <v>27</v>
      </c>
      <c r="I2566" s="14" t="s">
        <v>2784</v>
      </c>
      <c r="J2566" s="14" t="s">
        <v>47</v>
      </c>
      <c r="K2566" s="15" t="s">
        <v>64</v>
      </c>
      <c r="L2566" s="14" t="s">
        <v>2830</v>
      </c>
      <c r="M2566" s="14"/>
      <c r="N2566" s="14" t="s">
        <v>84</v>
      </c>
      <c r="O2566" s="14"/>
      <c r="P2566" s="15" t="s">
        <v>2801</v>
      </c>
      <c r="Q2566" s="16">
        <v>2699</v>
      </c>
      <c r="R2566" s="17">
        <v>48.13</v>
      </c>
      <c r="S2566" s="18">
        <v>1609.9884999999999</v>
      </c>
      <c r="T2566" s="19" t="s">
        <v>36</v>
      </c>
      <c r="U2566" s="20" t="s">
        <v>41</v>
      </c>
      <c r="V2566" s="21" t="s">
        <v>40</v>
      </c>
      <c r="W2566" s="22">
        <v>2</v>
      </c>
      <c r="X2566" s="23"/>
    </row>
    <row r="2567" spans="1:24" s="1" customFormat="1" ht="108" customHeight="1" x14ac:dyDescent="0.3">
      <c r="A2567" s="11" t="s">
        <v>23</v>
      </c>
      <c r="B2567" s="11" t="s">
        <v>2831</v>
      </c>
      <c r="C2567" s="12" t="s">
        <v>2832</v>
      </c>
      <c r="D2567" s="25"/>
      <c r="E2567" s="39" t="str">
        <f>HYPERLINK("https://www.google.ru/search?q=1390047-466&amp;newwindow=1&amp;tbm=isch","Еще фото")</f>
        <v>Еще фото</v>
      </c>
      <c r="F2567" s="13" t="s">
        <v>98</v>
      </c>
      <c r="G2567" s="11" t="s">
        <v>2788</v>
      </c>
      <c r="H2567" s="11" t="s">
        <v>27</v>
      </c>
      <c r="I2567" s="14" t="s">
        <v>2784</v>
      </c>
      <c r="J2567" s="14" t="s">
        <v>29</v>
      </c>
      <c r="K2567" s="15" t="s">
        <v>30</v>
      </c>
      <c r="L2567" s="14"/>
      <c r="M2567" s="14"/>
      <c r="N2567" s="14" t="s">
        <v>91</v>
      </c>
      <c r="O2567" s="14"/>
      <c r="P2567" s="15" t="s">
        <v>51</v>
      </c>
      <c r="Q2567" s="16">
        <v>3999</v>
      </c>
      <c r="R2567" s="17">
        <v>47.49</v>
      </c>
      <c r="S2567" s="18">
        <v>2414.9884999999995</v>
      </c>
      <c r="T2567" s="19" t="s">
        <v>36</v>
      </c>
      <c r="U2567" s="20" t="s">
        <v>37</v>
      </c>
      <c r="V2567" s="21" t="s">
        <v>38</v>
      </c>
      <c r="W2567" s="22">
        <v>3</v>
      </c>
      <c r="X2567" s="23"/>
    </row>
    <row r="2568" spans="1:24" s="1" customFormat="1" ht="108" customHeight="1" x14ac:dyDescent="0.3">
      <c r="A2568" s="11" t="s">
        <v>23</v>
      </c>
      <c r="B2568" s="11" t="s">
        <v>2833</v>
      </c>
      <c r="C2568" s="12" t="s">
        <v>2834</v>
      </c>
      <c r="D2568" s="25"/>
      <c r="E2568" s="39" t="str">
        <f>HYPERLINK("https://www.google.ru/search?q=6010952-008&amp;newwindow=1&amp;tbm=isch","Еще фото")</f>
        <v>Еще фото</v>
      </c>
      <c r="F2568" s="13"/>
      <c r="G2568" s="11" t="s">
        <v>2788</v>
      </c>
      <c r="H2568" s="11" t="s">
        <v>27</v>
      </c>
      <c r="I2568" s="14" t="s">
        <v>2784</v>
      </c>
      <c r="J2568" s="14" t="s">
        <v>47</v>
      </c>
      <c r="K2568" s="15" t="s">
        <v>64</v>
      </c>
      <c r="L2568" s="14" t="s">
        <v>2835</v>
      </c>
      <c r="M2568" s="14"/>
      <c r="N2568" s="14" t="s">
        <v>33</v>
      </c>
      <c r="O2568" s="14"/>
      <c r="P2568" s="15" t="s">
        <v>2836</v>
      </c>
      <c r="Q2568" s="16">
        <v>3999</v>
      </c>
      <c r="R2568" s="17">
        <v>47.49</v>
      </c>
      <c r="S2568" s="18">
        <v>2414.9884999999995</v>
      </c>
      <c r="T2568" s="19" t="s">
        <v>36</v>
      </c>
      <c r="U2568" s="20" t="s">
        <v>69</v>
      </c>
      <c r="V2568" s="21" t="s">
        <v>70</v>
      </c>
      <c r="W2568" s="22">
        <v>1</v>
      </c>
      <c r="X2568" s="23"/>
    </row>
    <row r="2569" spans="1:24" s="1" customFormat="1" ht="108" customHeight="1" x14ac:dyDescent="0.3">
      <c r="A2569" s="11" t="s">
        <v>23</v>
      </c>
      <c r="B2569" s="11" t="s">
        <v>2837</v>
      </c>
      <c r="C2569" s="12" t="s">
        <v>2838</v>
      </c>
      <c r="D2569" s="25"/>
      <c r="E2569" s="39" t="str">
        <f>HYPERLINK("https://www.google.ru/search?q=6005920-425&amp;newwindow=1&amp;tbm=isch","Еще фото")</f>
        <v>Еще фото</v>
      </c>
      <c r="F2569" s="13"/>
      <c r="G2569" s="11" t="s">
        <v>2788</v>
      </c>
      <c r="H2569" s="11" t="s">
        <v>27</v>
      </c>
      <c r="I2569" s="14" t="s">
        <v>2784</v>
      </c>
      <c r="J2569" s="14" t="s">
        <v>29</v>
      </c>
      <c r="K2569" s="15" t="s">
        <v>30</v>
      </c>
      <c r="L2569" s="14"/>
      <c r="M2569" s="14"/>
      <c r="N2569" s="14" t="s">
        <v>50</v>
      </c>
      <c r="O2569" s="14"/>
      <c r="P2569" s="15" t="s">
        <v>51</v>
      </c>
      <c r="Q2569" s="16">
        <v>3799</v>
      </c>
      <c r="R2569" s="17">
        <v>47.35</v>
      </c>
      <c r="S2569" s="18">
        <v>2299.9884999999999</v>
      </c>
      <c r="T2569" s="19" t="s">
        <v>36</v>
      </c>
      <c r="U2569" s="20" t="s">
        <v>43</v>
      </c>
      <c r="V2569" s="21" t="s">
        <v>44</v>
      </c>
      <c r="W2569" s="22">
        <v>1</v>
      </c>
      <c r="X2569" s="23"/>
    </row>
    <row r="2570" spans="1:24" s="1" customFormat="1" ht="108" customHeight="1" x14ac:dyDescent="0.3">
      <c r="A2570" s="11" t="s">
        <v>23</v>
      </c>
      <c r="B2570" s="11" t="s">
        <v>2839</v>
      </c>
      <c r="C2570" s="12" t="s">
        <v>2840</v>
      </c>
      <c r="D2570" s="25"/>
      <c r="E2570" s="39" t="str">
        <f>HYPERLINK("https://www.google.ru/search?q=1382915-289&amp;newwindow=1&amp;tbm=isch","Еще фото")</f>
        <v>Еще фото</v>
      </c>
      <c r="F2570" s="13"/>
      <c r="G2570" s="11" t="s">
        <v>2788</v>
      </c>
      <c r="H2570" s="11" t="s">
        <v>27</v>
      </c>
      <c r="I2570" s="14" t="s">
        <v>2784</v>
      </c>
      <c r="J2570" s="14" t="s">
        <v>47</v>
      </c>
      <c r="K2570" s="15" t="s">
        <v>30</v>
      </c>
      <c r="L2570" s="14" t="s">
        <v>2841</v>
      </c>
      <c r="M2570" s="14"/>
      <c r="N2570" s="14" t="s">
        <v>125</v>
      </c>
      <c r="O2570" s="14"/>
      <c r="P2570" s="15" t="s">
        <v>2601</v>
      </c>
      <c r="Q2570" s="16">
        <v>3399</v>
      </c>
      <c r="R2570" s="17">
        <v>47.04</v>
      </c>
      <c r="S2570" s="18">
        <v>2069.9884999999999</v>
      </c>
      <c r="T2570" s="19" t="s">
        <v>36</v>
      </c>
      <c r="U2570" s="20" t="s">
        <v>104</v>
      </c>
      <c r="V2570" s="21" t="s">
        <v>105</v>
      </c>
      <c r="W2570" s="22">
        <v>1</v>
      </c>
      <c r="X2570" s="23"/>
    </row>
    <row r="2571" spans="1:24" s="1" customFormat="1" ht="108" customHeight="1" x14ac:dyDescent="0.3">
      <c r="A2571" s="11" t="s">
        <v>23</v>
      </c>
      <c r="B2571" s="11" t="s">
        <v>2842</v>
      </c>
      <c r="C2571" s="12" t="s">
        <v>2843</v>
      </c>
      <c r="D2571" s="25"/>
      <c r="E2571" s="39" t="str">
        <f>HYPERLINK("https://www.google.ru/search?q=1361034-656&amp;newwindow=1&amp;tbm=isch","Еще фото")</f>
        <v>Еще фото</v>
      </c>
      <c r="F2571" s="13"/>
      <c r="G2571" s="11" t="s">
        <v>2809</v>
      </c>
      <c r="H2571" s="11" t="s">
        <v>27</v>
      </c>
      <c r="I2571" s="14" t="s">
        <v>2784</v>
      </c>
      <c r="J2571" s="14" t="s">
        <v>29</v>
      </c>
      <c r="K2571" s="15" t="s">
        <v>64</v>
      </c>
      <c r="L2571" s="14" t="s">
        <v>2844</v>
      </c>
      <c r="M2571" s="14"/>
      <c r="N2571" s="14" t="s">
        <v>57</v>
      </c>
      <c r="O2571" s="14"/>
      <c r="P2571" s="15" t="s">
        <v>100</v>
      </c>
      <c r="Q2571" s="16">
        <v>4899</v>
      </c>
      <c r="R2571" s="17">
        <v>46.93</v>
      </c>
      <c r="S2571" s="18">
        <v>2989.9884999999995</v>
      </c>
      <c r="T2571" s="19" t="s">
        <v>36</v>
      </c>
      <c r="U2571" s="20" t="s">
        <v>69</v>
      </c>
      <c r="V2571" s="21" t="s">
        <v>70</v>
      </c>
      <c r="W2571" s="22">
        <v>1</v>
      </c>
      <c r="X2571" s="23"/>
    </row>
    <row r="2572" spans="1:24" s="1" customFormat="1" ht="108" customHeight="1" x14ac:dyDescent="0.3">
      <c r="A2572" s="11" t="s">
        <v>23</v>
      </c>
      <c r="B2572" s="11" t="s">
        <v>2845</v>
      </c>
      <c r="C2572" s="12" t="s">
        <v>2846</v>
      </c>
      <c r="D2572" s="25"/>
      <c r="E2572" s="39" t="str">
        <f>HYPERLINK("https://www.google.ru/search?q=1382434-731&amp;newwindow=1&amp;tbm=isch","Еще фото")</f>
        <v>Еще фото</v>
      </c>
      <c r="F2572" s="13"/>
      <c r="G2572" s="11" t="s">
        <v>2788</v>
      </c>
      <c r="H2572" s="11" t="s">
        <v>27</v>
      </c>
      <c r="I2572" s="14" t="s">
        <v>2784</v>
      </c>
      <c r="J2572" s="14" t="s">
        <v>29</v>
      </c>
      <c r="K2572" s="15" t="s">
        <v>64</v>
      </c>
      <c r="L2572" s="14" t="s">
        <v>2847</v>
      </c>
      <c r="M2572" s="14"/>
      <c r="N2572" s="14" t="s">
        <v>125</v>
      </c>
      <c r="O2572" s="14"/>
      <c r="P2572" s="15" t="s">
        <v>2848</v>
      </c>
      <c r="Q2572" s="16">
        <v>3199</v>
      </c>
      <c r="R2572" s="17">
        <v>46.86</v>
      </c>
      <c r="S2572" s="18">
        <v>1954.9884999999999</v>
      </c>
      <c r="T2572" s="19" t="s">
        <v>36</v>
      </c>
      <c r="U2572" s="20" t="s">
        <v>69</v>
      </c>
      <c r="V2572" s="21" t="s">
        <v>70</v>
      </c>
      <c r="W2572" s="22">
        <v>1</v>
      </c>
      <c r="X2572" s="23"/>
    </row>
    <row r="2573" spans="1:24" s="1" customFormat="1" ht="108" customHeight="1" x14ac:dyDescent="0.3">
      <c r="A2573" s="11" t="s">
        <v>23</v>
      </c>
      <c r="B2573" s="11" t="s">
        <v>2839</v>
      </c>
      <c r="C2573" s="12" t="s">
        <v>2849</v>
      </c>
      <c r="D2573" s="25"/>
      <c r="E2573" s="39" t="str">
        <f>HYPERLINK("https://www.google.ru/search?q=1382915-402&amp;newwindow=1&amp;tbm=isch","Еще фото")</f>
        <v>Еще фото</v>
      </c>
      <c r="F2573" s="13"/>
      <c r="G2573" s="11" t="s">
        <v>2788</v>
      </c>
      <c r="H2573" s="11" t="s">
        <v>27</v>
      </c>
      <c r="I2573" s="14" t="s">
        <v>2784</v>
      </c>
      <c r="J2573" s="14" t="s">
        <v>47</v>
      </c>
      <c r="K2573" s="15" t="s">
        <v>30</v>
      </c>
      <c r="L2573" s="14" t="s">
        <v>2841</v>
      </c>
      <c r="M2573" s="14"/>
      <c r="N2573" s="14" t="s">
        <v>91</v>
      </c>
      <c r="O2573" s="14"/>
      <c r="P2573" s="15" t="s">
        <v>2601</v>
      </c>
      <c r="Q2573" s="16">
        <v>3199</v>
      </c>
      <c r="R2573" s="17">
        <v>46.86</v>
      </c>
      <c r="S2573" s="18">
        <v>1954.9884999999999</v>
      </c>
      <c r="T2573" s="19" t="s">
        <v>36</v>
      </c>
      <c r="U2573" s="20" t="s">
        <v>37</v>
      </c>
      <c r="V2573" s="21" t="s">
        <v>38</v>
      </c>
      <c r="W2573" s="22">
        <v>1</v>
      </c>
      <c r="X2573" s="23"/>
    </row>
    <row r="2574" spans="1:24" s="1" customFormat="1" ht="108" customHeight="1" x14ac:dyDescent="0.3">
      <c r="A2574" s="11" t="s">
        <v>23</v>
      </c>
      <c r="B2574" s="11" t="s">
        <v>2842</v>
      </c>
      <c r="C2574" s="12" t="s">
        <v>2850</v>
      </c>
      <c r="D2574" s="25"/>
      <c r="E2574" s="39" t="str">
        <f>HYPERLINK("https://www.google.ru/search?q=1361034-006&amp;newwindow=1&amp;tbm=isch","Еще фото")</f>
        <v>Еще фото</v>
      </c>
      <c r="F2574" s="13"/>
      <c r="G2574" s="11" t="s">
        <v>2809</v>
      </c>
      <c r="H2574" s="11" t="s">
        <v>27</v>
      </c>
      <c r="I2574" s="14" t="s">
        <v>2784</v>
      </c>
      <c r="J2574" s="14" t="s">
        <v>29</v>
      </c>
      <c r="K2574" s="15" t="s">
        <v>64</v>
      </c>
      <c r="L2574" s="14" t="s">
        <v>2851</v>
      </c>
      <c r="M2574" s="14"/>
      <c r="N2574" s="14" t="s">
        <v>33</v>
      </c>
      <c r="O2574" s="14"/>
      <c r="P2574" s="15" t="s">
        <v>100</v>
      </c>
      <c r="Q2574" s="16">
        <v>4699</v>
      </c>
      <c r="R2574" s="17">
        <v>46.8</v>
      </c>
      <c r="S2574" s="18">
        <v>2874.9884999999995</v>
      </c>
      <c r="T2574" s="19" t="s">
        <v>36</v>
      </c>
      <c r="U2574" s="20" t="s">
        <v>69</v>
      </c>
      <c r="V2574" s="21" t="s">
        <v>70</v>
      </c>
      <c r="W2574" s="22">
        <v>5</v>
      </c>
      <c r="X2574" s="23"/>
    </row>
    <row r="2575" spans="1:24" s="1" customFormat="1" ht="108" customHeight="1" x14ac:dyDescent="0.3">
      <c r="A2575" s="11" t="s">
        <v>23</v>
      </c>
      <c r="B2575" s="11" t="s">
        <v>2852</v>
      </c>
      <c r="C2575" s="12" t="s">
        <v>2853</v>
      </c>
      <c r="D2575" s="25"/>
      <c r="E2575" s="39" t="str">
        <f>HYPERLINK("https://www.google.ru/search?q=1373865-002&amp;newwindow=1&amp;tbm=isch","Еще фото")</f>
        <v>Еще фото</v>
      </c>
      <c r="F2575" s="13"/>
      <c r="G2575" s="11" t="s">
        <v>2809</v>
      </c>
      <c r="H2575" s="11" t="s">
        <v>27</v>
      </c>
      <c r="I2575" s="14" t="s">
        <v>2784</v>
      </c>
      <c r="J2575" s="14" t="s">
        <v>29</v>
      </c>
      <c r="K2575" s="15" t="s">
        <v>64</v>
      </c>
      <c r="L2575" s="14" t="s">
        <v>2854</v>
      </c>
      <c r="M2575" s="14"/>
      <c r="N2575" s="14" t="s">
        <v>33</v>
      </c>
      <c r="O2575" s="14"/>
      <c r="P2575" s="15" t="s">
        <v>100</v>
      </c>
      <c r="Q2575" s="16">
        <v>5999</v>
      </c>
      <c r="R2575" s="17">
        <v>46.66</v>
      </c>
      <c r="S2575" s="18">
        <v>3679.9884999999995</v>
      </c>
      <c r="T2575" s="19" t="s">
        <v>36</v>
      </c>
      <c r="U2575" s="20" t="s">
        <v>69</v>
      </c>
      <c r="V2575" s="21" t="s">
        <v>70</v>
      </c>
      <c r="W2575" s="22">
        <v>5</v>
      </c>
      <c r="X2575" s="23"/>
    </row>
    <row r="2576" spans="1:24" s="1" customFormat="1" ht="108" customHeight="1" x14ac:dyDescent="0.3">
      <c r="A2576" s="11" t="s">
        <v>23</v>
      </c>
      <c r="B2576" s="11" t="s">
        <v>2839</v>
      </c>
      <c r="C2576" s="12" t="s">
        <v>2855</v>
      </c>
      <c r="D2576" s="25"/>
      <c r="E2576" s="39" t="str">
        <f>HYPERLINK("https://www.google.ru/search?q=1382915-028&amp;newwindow=1&amp;tbm=isch","Еще фото")</f>
        <v>Еще фото</v>
      </c>
      <c r="F2576" s="13"/>
      <c r="G2576" s="11" t="s">
        <v>2788</v>
      </c>
      <c r="H2576" s="11" t="s">
        <v>27</v>
      </c>
      <c r="I2576" s="14" t="s">
        <v>2784</v>
      </c>
      <c r="J2576" s="14" t="s">
        <v>29</v>
      </c>
      <c r="K2576" s="15" t="s">
        <v>30</v>
      </c>
      <c r="L2576" s="14" t="s">
        <v>2841</v>
      </c>
      <c r="M2576" s="14"/>
      <c r="N2576" s="14" t="s">
        <v>84</v>
      </c>
      <c r="O2576" s="14"/>
      <c r="P2576" s="15" t="s">
        <v>2856</v>
      </c>
      <c r="Q2576" s="16">
        <v>2999</v>
      </c>
      <c r="R2576" s="17">
        <v>46.65</v>
      </c>
      <c r="S2576" s="18">
        <v>1839.9884999999999</v>
      </c>
      <c r="T2576" s="19" t="s">
        <v>36</v>
      </c>
      <c r="U2576" s="20" t="s">
        <v>37</v>
      </c>
      <c r="V2576" s="21" t="s">
        <v>38</v>
      </c>
      <c r="W2576" s="22">
        <v>12</v>
      </c>
      <c r="X2576" s="23"/>
    </row>
    <row r="2577" spans="1:24" s="1" customFormat="1" ht="108" customHeight="1" x14ac:dyDescent="0.3">
      <c r="A2577" s="11" t="s">
        <v>23</v>
      </c>
      <c r="B2577" s="11" t="s">
        <v>2857</v>
      </c>
      <c r="C2577" s="12" t="s">
        <v>2858</v>
      </c>
      <c r="D2577" s="25"/>
      <c r="E2577" s="39" t="str">
        <f>HYPERLINK("https://www.google.ru/search?q=1384227-001&amp;newwindow=1&amp;tbm=isch","Еще фото")</f>
        <v>Еще фото</v>
      </c>
      <c r="F2577" s="13" t="s">
        <v>98</v>
      </c>
      <c r="G2577" s="11" t="s">
        <v>2788</v>
      </c>
      <c r="H2577" s="11" t="s">
        <v>27</v>
      </c>
      <c r="I2577" s="14" t="s">
        <v>2784</v>
      </c>
      <c r="J2577" s="14" t="s">
        <v>29</v>
      </c>
      <c r="K2577" s="15" t="s">
        <v>64</v>
      </c>
      <c r="L2577" s="14" t="s">
        <v>2859</v>
      </c>
      <c r="M2577" s="14"/>
      <c r="N2577" s="14" t="s">
        <v>33</v>
      </c>
      <c r="O2577" s="14"/>
      <c r="P2577" s="15" t="s">
        <v>51</v>
      </c>
      <c r="Q2577" s="16">
        <v>2999</v>
      </c>
      <c r="R2577" s="17">
        <v>46.65</v>
      </c>
      <c r="S2577" s="18">
        <v>1839.9884999999999</v>
      </c>
      <c r="T2577" s="19" t="s">
        <v>36</v>
      </c>
      <c r="U2577" s="20" t="s">
        <v>69</v>
      </c>
      <c r="V2577" s="21" t="s">
        <v>70</v>
      </c>
      <c r="W2577" s="22">
        <v>3</v>
      </c>
      <c r="X2577" s="23"/>
    </row>
    <row r="2578" spans="1:24" s="1" customFormat="1" ht="108" customHeight="1" x14ac:dyDescent="0.3">
      <c r="A2578" s="11" t="s">
        <v>23</v>
      </c>
      <c r="B2578" s="11" t="s">
        <v>2860</v>
      </c>
      <c r="C2578" s="12" t="s">
        <v>2861</v>
      </c>
      <c r="D2578" s="25"/>
      <c r="E2578" s="39" t="str">
        <f>HYPERLINK("https://www.google.ru/search?q=1389851-100&amp;newwindow=1&amp;tbm=isch","Еще фото")</f>
        <v>Еще фото</v>
      </c>
      <c r="F2578" s="13"/>
      <c r="G2578" s="11" t="s">
        <v>2862</v>
      </c>
      <c r="H2578" s="11" t="s">
        <v>27</v>
      </c>
      <c r="I2578" s="14" t="s">
        <v>2784</v>
      </c>
      <c r="J2578" s="14" t="s">
        <v>29</v>
      </c>
      <c r="K2578" s="15" t="s">
        <v>64</v>
      </c>
      <c r="L2578" s="14" t="s">
        <v>2863</v>
      </c>
      <c r="M2578" s="14"/>
      <c r="N2578" s="14" t="s">
        <v>74</v>
      </c>
      <c r="O2578" s="14"/>
      <c r="P2578" s="15" t="s">
        <v>269</v>
      </c>
      <c r="Q2578" s="16">
        <v>2799</v>
      </c>
      <c r="R2578" s="17">
        <v>46.41</v>
      </c>
      <c r="S2578" s="18">
        <v>1724.9884999999999</v>
      </c>
      <c r="T2578" s="19" t="s">
        <v>36</v>
      </c>
      <c r="U2578" s="20" t="s">
        <v>41</v>
      </c>
      <c r="V2578" s="21" t="s">
        <v>40</v>
      </c>
      <c r="W2578" s="22">
        <v>1</v>
      </c>
      <c r="X2578" s="23"/>
    </row>
    <row r="2579" spans="1:24" s="1" customFormat="1" ht="108" customHeight="1" x14ac:dyDescent="0.3">
      <c r="A2579" s="11" t="s">
        <v>23</v>
      </c>
      <c r="B2579" s="11" t="s">
        <v>2864</v>
      </c>
      <c r="C2579" s="12" t="s">
        <v>2865</v>
      </c>
      <c r="D2579" s="25"/>
      <c r="E2579" s="39" t="str">
        <f>HYPERLINK("https://www.google.ru/search?q=1375692-009&amp;newwindow=1&amp;tbm=isch","Еще фото")</f>
        <v>Еще фото</v>
      </c>
      <c r="F2579" s="13"/>
      <c r="G2579" s="11" t="s">
        <v>2788</v>
      </c>
      <c r="H2579" s="11" t="s">
        <v>27</v>
      </c>
      <c r="I2579" s="14" t="s">
        <v>2784</v>
      </c>
      <c r="J2579" s="14" t="s">
        <v>29</v>
      </c>
      <c r="K2579" s="15" t="s">
        <v>30</v>
      </c>
      <c r="L2579" s="14" t="s">
        <v>2866</v>
      </c>
      <c r="M2579" s="14"/>
      <c r="N2579" s="14" t="s">
        <v>84</v>
      </c>
      <c r="O2579" s="14"/>
      <c r="P2579" s="15" t="s">
        <v>2867</v>
      </c>
      <c r="Q2579" s="16">
        <v>6899</v>
      </c>
      <c r="R2579" s="17">
        <v>46.37</v>
      </c>
      <c r="S2579" s="18">
        <v>4254.9884999999995</v>
      </c>
      <c r="T2579" s="19" t="s">
        <v>36</v>
      </c>
      <c r="U2579" s="20" t="s">
        <v>37</v>
      </c>
      <c r="V2579" s="21" t="s">
        <v>38</v>
      </c>
      <c r="W2579" s="22">
        <v>3</v>
      </c>
      <c r="X2579" s="23"/>
    </row>
    <row r="2580" spans="1:24" s="1" customFormat="1" ht="108" customHeight="1" x14ac:dyDescent="0.3">
      <c r="A2580" s="11" t="s">
        <v>23</v>
      </c>
      <c r="B2580" s="11" t="s">
        <v>2868</v>
      </c>
      <c r="C2580" s="12" t="s">
        <v>2869</v>
      </c>
      <c r="D2580" s="25"/>
      <c r="E2580" s="39" t="str">
        <f>HYPERLINK("https://www.google.ru/search?q=6009732-001&amp;newwindow=1&amp;tbm=isch","Еще фото")</f>
        <v>Еще фото</v>
      </c>
      <c r="F2580" s="13"/>
      <c r="G2580" s="11" t="s">
        <v>2788</v>
      </c>
      <c r="H2580" s="11" t="s">
        <v>27</v>
      </c>
      <c r="I2580" s="14" t="s">
        <v>2784</v>
      </c>
      <c r="J2580" s="14" t="s">
        <v>29</v>
      </c>
      <c r="K2580" s="15" t="s">
        <v>30</v>
      </c>
      <c r="L2580" s="14" t="s">
        <v>2870</v>
      </c>
      <c r="M2580" s="14"/>
      <c r="N2580" s="14" t="s">
        <v>33</v>
      </c>
      <c r="O2580" s="14"/>
      <c r="P2580" s="15" t="s">
        <v>133</v>
      </c>
      <c r="Q2580" s="16">
        <v>4099</v>
      </c>
      <c r="R2580" s="17">
        <v>46.33</v>
      </c>
      <c r="S2580" s="18">
        <v>2529.9884999999995</v>
      </c>
      <c r="T2580" s="19" t="s">
        <v>36</v>
      </c>
      <c r="U2580" s="20" t="s">
        <v>37</v>
      </c>
      <c r="V2580" s="21" t="s">
        <v>38</v>
      </c>
      <c r="W2580" s="22">
        <v>1</v>
      </c>
      <c r="X2580" s="23"/>
    </row>
    <row r="2581" spans="1:24" s="1" customFormat="1" ht="108" customHeight="1" x14ac:dyDescent="0.3">
      <c r="A2581" s="11" t="s">
        <v>23</v>
      </c>
      <c r="B2581" s="11" t="s">
        <v>2868</v>
      </c>
      <c r="C2581" s="12" t="s">
        <v>2871</v>
      </c>
      <c r="D2581" s="25"/>
      <c r="E2581" s="39" t="str">
        <f>HYPERLINK("https://www.google.ru/search?q=6009732-600&amp;newwindow=1&amp;tbm=isch","Еще фото")</f>
        <v>Еще фото</v>
      </c>
      <c r="F2581" s="13"/>
      <c r="G2581" s="11" t="s">
        <v>2788</v>
      </c>
      <c r="H2581" s="11" t="s">
        <v>27</v>
      </c>
      <c r="I2581" s="14" t="s">
        <v>2784</v>
      </c>
      <c r="J2581" s="14" t="s">
        <v>29</v>
      </c>
      <c r="K2581" s="15" t="s">
        <v>30</v>
      </c>
      <c r="L2581" s="14"/>
      <c r="M2581" s="14"/>
      <c r="N2581" s="14" t="s">
        <v>57</v>
      </c>
      <c r="O2581" s="14"/>
      <c r="P2581" s="15" t="s">
        <v>133</v>
      </c>
      <c r="Q2581" s="16">
        <v>4099</v>
      </c>
      <c r="R2581" s="17">
        <v>46.33</v>
      </c>
      <c r="S2581" s="18">
        <v>2529.9884999999995</v>
      </c>
      <c r="T2581" s="19" t="s">
        <v>36</v>
      </c>
      <c r="U2581" s="20" t="s">
        <v>104</v>
      </c>
      <c r="V2581" s="21" t="s">
        <v>105</v>
      </c>
      <c r="W2581" s="22">
        <v>5</v>
      </c>
      <c r="X2581" s="23"/>
    </row>
    <row r="2582" spans="1:24" s="1" customFormat="1" ht="108" customHeight="1" x14ac:dyDescent="0.3">
      <c r="A2582" s="11" t="s">
        <v>23</v>
      </c>
      <c r="B2582" s="11" t="s">
        <v>2872</v>
      </c>
      <c r="C2582" s="12" t="s">
        <v>2873</v>
      </c>
      <c r="D2582" s="25"/>
      <c r="E2582" s="39" t="str">
        <f>HYPERLINK("https://www.google.ru/search?q=6011152-008&amp;newwindow=1&amp;tbm=isch","Еще фото")</f>
        <v>Еще фото</v>
      </c>
      <c r="F2582" s="13"/>
      <c r="G2582" s="11" t="s">
        <v>2809</v>
      </c>
      <c r="H2582" s="11" t="s">
        <v>27</v>
      </c>
      <c r="I2582" s="14" t="s">
        <v>2784</v>
      </c>
      <c r="J2582" s="14" t="s">
        <v>29</v>
      </c>
      <c r="K2582" s="15" t="s">
        <v>64</v>
      </c>
      <c r="L2582" s="14" t="s">
        <v>2874</v>
      </c>
      <c r="M2582" s="14"/>
      <c r="N2582" s="14" t="s">
        <v>33</v>
      </c>
      <c r="O2582" s="14"/>
      <c r="P2582" s="15" t="s">
        <v>100</v>
      </c>
      <c r="Q2582" s="16">
        <v>5399</v>
      </c>
      <c r="R2582" s="17">
        <v>46.29</v>
      </c>
      <c r="S2582" s="18">
        <v>3334.9884999999995</v>
      </c>
      <c r="T2582" s="19" t="s">
        <v>36</v>
      </c>
      <c r="U2582" s="20" t="s">
        <v>69</v>
      </c>
      <c r="V2582" s="21" t="s">
        <v>70</v>
      </c>
      <c r="W2582" s="22">
        <v>4</v>
      </c>
      <c r="X2582" s="23"/>
    </row>
    <row r="2583" spans="1:24" s="1" customFormat="1" ht="108" customHeight="1" x14ac:dyDescent="0.3">
      <c r="A2583" s="11" t="s">
        <v>23</v>
      </c>
      <c r="B2583" s="11" t="s">
        <v>2875</v>
      </c>
      <c r="C2583" s="12" t="s">
        <v>2876</v>
      </c>
      <c r="D2583" s="25"/>
      <c r="E2583" s="39" t="str">
        <f>HYPERLINK("https://www.google.ru/search?q=6009506-001&amp;newwindow=1&amp;tbm=isch","Еще фото")</f>
        <v>Еще фото</v>
      </c>
      <c r="F2583" s="13"/>
      <c r="G2583" s="11" t="s">
        <v>2788</v>
      </c>
      <c r="H2583" s="11" t="s">
        <v>27</v>
      </c>
      <c r="I2583" s="14" t="s">
        <v>2784</v>
      </c>
      <c r="J2583" s="14" t="s">
        <v>29</v>
      </c>
      <c r="K2583" s="15" t="s">
        <v>30</v>
      </c>
      <c r="L2583" s="14"/>
      <c r="M2583" s="14"/>
      <c r="N2583" s="14" t="s">
        <v>33</v>
      </c>
      <c r="O2583" s="14"/>
      <c r="P2583" s="15" t="s">
        <v>2877</v>
      </c>
      <c r="Q2583" s="16">
        <v>6499</v>
      </c>
      <c r="R2583" s="17">
        <v>46.15</v>
      </c>
      <c r="S2583" s="18">
        <v>4024.9884999999995</v>
      </c>
      <c r="T2583" s="19" t="s">
        <v>36</v>
      </c>
      <c r="U2583" s="20" t="s">
        <v>37</v>
      </c>
      <c r="V2583" s="21" t="s">
        <v>38</v>
      </c>
      <c r="W2583" s="22">
        <v>1</v>
      </c>
      <c r="X2583" s="23"/>
    </row>
    <row r="2584" spans="1:24" s="1" customFormat="1" ht="108" customHeight="1" x14ac:dyDescent="0.3">
      <c r="A2584" s="11" t="s">
        <v>23</v>
      </c>
      <c r="B2584" s="11" t="s">
        <v>2878</v>
      </c>
      <c r="C2584" s="12" t="s">
        <v>2879</v>
      </c>
      <c r="D2584" s="25"/>
      <c r="E2584" s="39" t="str">
        <f>HYPERLINK("https://www.google.ru/search?q=1356305-465&amp;newwindow=1&amp;tbm=isch","Еще фото")</f>
        <v>Еще фото</v>
      </c>
      <c r="F2584" s="13"/>
      <c r="G2584" s="11" t="s">
        <v>2788</v>
      </c>
      <c r="H2584" s="11" t="s">
        <v>27</v>
      </c>
      <c r="I2584" s="14" t="s">
        <v>2784</v>
      </c>
      <c r="J2584" s="14" t="s">
        <v>29</v>
      </c>
      <c r="K2584" s="15" t="s">
        <v>64</v>
      </c>
      <c r="L2584" s="14" t="s">
        <v>2880</v>
      </c>
      <c r="M2584" s="14"/>
      <c r="N2584" s="14" t="s">
        <v>50</v>
      </c>
      <c r="O2584" s="14"/>
      <c r="P2584" s="15" t="s">
        <v>2601</v>
      </c>
      <c r="Q2584" s="16">
        <v>3899</v>
      </c>
      <c r="R2584" s="17">
        <v>46.14</v>
      </c>
      <c r="S2584" s="18">
        <v>2414.9884999999995</v>
      </c>
      <c r="T2584" s="19" t="s">
        <v>36</v>
      </c>
      <c r="U2584" s="20" t="s">
        <v>69</v>
      </c>
      <c r="V2584" s="21" t="s">
        <v>70</v>
      </c>
      <c r="W2584" s="22">
        <v>4</v>
      </c>
      <c r="X2584" s="23"/>
    </row>
    <row r="2585" spans="1:24" s="1" customFormat="1" ht="108" customHeight="1" x14ac:dyDescent="0.3">
      <c r="A2585" s="11" t="s">
        <v>23</v>
      </c>
      <c r="B2585" s="11" t="s">
        <v>2842</v>
      </c>
      <c r="C2585" s="12" t="s">
        <v>2881</v>
      </c>
      <c r="D2585" s="25"/>
      <c r="E2585" s="39" t="str">
        <f>HYPERLINK("https://www.google.ru/search?q=1361034-011&amp;newwindow=1&amp;tbm=isch","Еще фото")</f>
        <v>Еще фото</v>
      </c>
      <c r="F2585" s="13"/>
      <c r="G2585" s="11" t="s">
        <v>2809</v>
      </c>
      <c r="H2585" s="11" t="s">
        <v>27</v>
      </c>
      <c r="I2585" s="14" t="s">
        <v>2784</v>
      </c>
      <c r="J2585" s="14" t="s">
        <v>29</v>
      </c>
      <c r="K2585" s="15" t="s">
        <v>64</v>
      </c>
      <c r="L2585" s="14" t="s">
        <v>2882</v>
      </c>
      <c r="M2585" s="14"/>
      <c r="N2585" s="14" t="s">
        <v>33</v>
      </c>
      <c r="O2585" s="14"/>
      <c r="P2585" s="15" t="s">
        <v>2883</v>
      </c>
      <c r="Q2585" s="16">
        <v>3899</v>
      </c>
      <c r="R2585" s="17">
        <v>46.14</v>
      </c>
      <c r="S2585" s="18">
        <v>2414.9884999999995</v>
      </c>
      <c r="T2585" s="19" t="s">
        <v>36</v>
      </c>
      <c r="U2585" s="20" t="s">
        <v>69</v>
      </c>
      <c r="V2585" s="21" t="s">
        <v>70</v>
      </c>
      <c r="W2585" s="22">
        <v>7</v>
      </c>
      <c r="X2585" s="23"/>
    </row>
    <row r="2586" spans="1:24" s="1" customFormat="1" ht="108" customHeight="1" x14ac:dyDescent="0.3">
      <c r="A2586" s="11" t="s">
        <v>23</v>
      </c>
      <c r="B2586" s="11" t="s">
        <v>2842</v>
      </c>
      <c r="C2586" s="12" t="s">
        <v>2884</v>
      </c>
      <c r="D2586" s="25"/>
      <c r="E2586" s="39" t="str">
        <f>HYPERLINK("https://www.google.ru/search?q=1361034-703&amp;newwindow=1&amp;tbm=isch","Еще фото")</f>
        <v>Еще фото</v>
      </c>
      <c r="F2586" s="13"/>
      <c r="G2586" s="11" t="s">
        <v>2809</v>
      </c>
      <c r="H2586" s="11" t="s">
        <v>27</v>
      </c>
      <c r="I2586" s="14" t="s">
        <v>2784</v>
      </c>
      <c r="J2586" s="14" t="s">
        <v>29</v>
      </c>
      <c r="K2586" s="15" t="s">
        <v>64</v>
      </c>
      <c r="L2586" s="14" t="s">
        <v>2882</v>
      </c>
      <c r="M2586" s="14"/>
      <c r="N2586" s="14" t="s">
        <v>50</v>
      </c>
      <c r="O2586" s="14"/>
      <c r="P2586" s="15" t="s">
        <v>2533</v>
      </c>
      <c r="Q2586" s="16">
        <v>3899</v>
      </c>
      <c r="R2586" s="17">
        <v>46.14</v>
      </c>
      <c r="S2586" s="18">
        <v>2414.9884999999995</v>
      </c>
      <c r="T2586" s="19" t="s">
        <v>36</v>
      </c>
      <c r="U2586" s="20" t="s">
        <v>69</v>
      </c>
      <c r="V2586" s="21" t="s">
        <v>70</v>
      </c>
      <c r="W2586" s="22">
        <v>11</v>
      </c>
      <c r="X2586" s="23"/>
    </row>
    <row r="2587" spans="1:24" s="1" customFormat="1" ht="108" customHeight="1" x14ac:dyDescent="0.3">
      <c r="A2587" s="11" t="s">
        <v>23</v>
      </c>
      <c r="B2587" s="11" t="s">
        <v>2864</v>
      </c>
      <c r="C2587" s="12" t="s">
        <v>2885</v>
      </c>
      <c r="D2587" s="25"/>
      <c r="E2587" s="39" t="str">
        <f>HYPERLINK("https://www.google.ru/search?q=1375692-100&amp;newwindow=1&amp;tbm=isch","Еще фото")</f>
        <v>Еще фото</v>
      </c>
      <c r="F2587" s="13"/>
      <c r="G2587" s="11" t="s">
        <v>2788</v>
      </c>
      <c r="H2587" s="11" t="s">
        <v>27</v>
      </c>
      <c r="I2587" s="14" t="s">
        <v>2784</v>
      </c>
      <c r="J2587" s="14" t="s">
        <v>29</v>
      </c>
      <c r="K2587" s="15" t="s">
        <v>30</v>
      </c>
      <c r="L2587" s="14" t="s">
        <v>2866</v>
      </c>
      <c r="M2587" s="14"/>
      <c r="N2587" s="14" t="s">
        <v>74</v>
      </c>
      <c r="O2587" s="14"/>
      <c r="P2587" s="15" t="s">
        <v>2867</v>
      </c>
      <c r="Q2587" s="16">
        <v>7599</v>
      </c>
      <c r="R2587" s="17">
        <v>46.05</v>
      </c>
      <c r="S2587" s="18">
        <v>4714.9884999999995</v>
      </c>
      <c r="T2587" s="19" t="s">
        <v>36</v>
      </c>
      <c r="U2587" s="20" t="s">
        <v>37</v>
      </c>
      <c r="V2587" s="21" t="s">
        <v>38</v>
      </c>
      <c r="W2587" s="22">
        <v>5</v>
      </c>
      <c r="X2587" s="23"/>
    </row>
    <row r="2588" spans="1:24" s="1" customFormat="1" ht="108" customHeight="1" x14ac:dyDescent="0.3">
      <c r="A2588" s="11" t="s">
        <v>23</v>
      </c>
      <c r="B2588" s="11" t="s">
        <v>2886</v>
      </c>
      <c r="C2588" s="12" t="s">
        <v>2887</v>
      </c>
      <c r="D2588" s="25"/>
      <c r="E2588" s="39" t="str">
        <f>HYPERLINK("https://www.google.ru/search?q=1366273-031&amp;newwindow=1&amp;tbm=isch","Еще фото")</f>
        <v>Еще фото</v>
      </c>
      <c r="F2588" s="13"/>
      <c r="G2588" s="11" t="s">
        <v>2783</v>
      </c>
      <c r="H2588" s="11" t="s">
        <v>27</v>
      </c>
      <c r="I2588" s="14" t="s">
        <v>2784</v>
      </c>
      <c r="J2588" s="14" t="s">
        <v>29</v>
      </c>
      <c r="K2588" s="15" t="s">
        <v>30</v>
      </c>
      <c r="L2588" s="14" t="s">
        <v>2888</v>
      </c>
      <c r="M2588" s="14" t="s">
        <v>2889</v>
      </c>
      <c r="N2588" s="14" t="s">
        <v>84</v>
      </c>
      <c r="O2588" s="14" t="s">
        <v>2890</v>
      </c>
      <c r="P2588" s="15" t="s">
        <v>100</v>
      </c>
      <c r="Q2588" s="16">
        <v>9999</v>
      </c>
      <c r="R2588" s="17">
        <v>45.99</v>
      </c>
      <c r="S2588" s="18">
        <v>6209.9884999999995</v>
      </c>
      <c r="T2588" s="19" t="s">
        <v>36</v>
      </c>
      <c r="U2588" s="20" t="s">
        <v>37</v>
      </c>
      <c r="V2588" s="21" t="s">
        <v>38</v>
      </c>
      <c r="W2588" s="22">
        <v>1</v>
      </c>
      <c r="X2588" s="23"/>
    </row>
    <row r="2589" spans="1:24" s="1" customFormat="1" ht="108" customHeight="1" x14ac:dyDescent="0.3">
      <c r="A2589" s="11" t="s">
        <v>23</v>
      </c>
      <c r="B2589" s="11" t="s">
        <v>2891</v>
      </c>
      <c r="C2589" s="12" t="s">
        <v>2892</v>
      </c>
      <c r="D2589" s="25"/>
      <c r="E2589" s="39" t="str">
        <f>HYPERLINK("https://www.google.ru/search?q=1379304-100&amp;newwindow=1&amp;tbm=isch","Еще фото")</f>
        <v>Еще фото</v>
      </c>
      <c r="F2589" s="13"/>
      <c r="G2589" s="11" t="s">
        <v>2783</v>
      </c>
      <c r="H2589" s="11" t="s">
        <v>27</v>
      </c>
      <c r="I2589" s="14" t="s">
        <v>2784</v>
      </c>
      <c r="J2589" s="14" t="s">
        <v>29</v>
      </c>
      <c r="K2589" s="15" t="s">
        <v>30</v>
      </c>
      <c r="L2589" s="14" t="s">
        <v>2893</v>
      </c>
      <c r="M2589" s="14"/>
      <c r="N2589" s="14" t="s">
        <v>74</v>
      </c>
      <c r="O2589" s="14"/>
      <c r="P2589" s="15" t="s">
        <v>779</v>
      </c>
      <c r="Q2589" s="16">
        <v>9999</v>
      </c>
      <c r="R2589" s="17">
        <v>45.99</v>
      </c>
      <c r="S2589" s="18">
        <v>6209.9884999999995</v>
      </c>
      <c r="T2589" s="19" t="s">
        <v>36</v>
      </c>
      <c r="U2589" s="20" t="s">
        <v>37</v>
      </c>
      <c r="V2589" s="21" t="s">
        <v>38</v>
      </c>
      <c r="W2589" s="22">
        <v>3</v>
      </c>
      <c r="X2589" s="23"/>
    </row>
    <row r="2590" spans="1:24" s="1" customFormat="1" ht="108" customHeight="1" x14ac:dyDescent="0.3">
      <c r="A2590" s="11" t="s">
        <v>23</v>
      </c>
      <c r="B2590" s="11" t="s">
        <v>2894</v>
      </c>
      <c r="C2590" s="12" t="s">
        <v>2895</v>
      </c>
      <c r="D2590" s="25"/>
      <c r="E2590" s="39" t="str">
        <f>HYPERLINK("https://www.google.ru/search?q=1382801-026&amp;newwindow=1&amp;tbm=isch","Еще фото")</f>
        <v>Еще фото</v>
      </c>
      <c r="F2590" s="13"/>
      <c r="G2590" s="11" t="s">
        <v>2788</v>
      </c>
      <c r="H2590" s="11" t="s">
        <v>27</v>
      </c>
      <c r="I2590" s="14" t="s">
        <v>2784</v>
      </c>
      <c r="J2590" s="14" t="s">
        <v>29</v>
      </c>
      <c r="K2590" s="15" t="s">
        <v>30</v>
      </c>
      <c r="L2590" s="14" t="s">
        <v>2896</v>
      </c>
      <c r="M2590" s="14"/>
      <c r="N2590" s="14" t="s">
        <v>84</v>
      </c>
      <c r="O2590" s="14"/>
      <c r="P2590" s="15" t="s">
        <v>2897</v>
      </c>
      <c r="Q2590" s="16">
        <v>4999</v>
      </c>
      <c r="R2590" s="17">
        <v>45.99</v>
      </c>
      <c r="S2590" s="18">
        <v>3104.9884999999995</v>
      </c>
      <c r="T2590" s="19" t="s">
        <v>36</v>
      </c>
      <c r="U2590" s="20" t="s">
        <v>37</v>
      </c>
      <c r="V2590" s="21" t="s">
        <v>38</v>
      </c>
      <c r="W2590" s="22">
        <v>1</v>
      </c>
      <c r="X2590" s="23"/>
    </row>
    <row r="2591" spans="1:24" s="1" customFormat="1" ht="108" customHeight="1" x14ac:dyDescent="0.3">
      <c r="A2591" s="11" t="s">
        <v>23</v>
      </c>
      <c r="B2591" s="11" t="s">
        <v>2898</v>
      </c>
      <c r="C2591" s="12" t="s">
        <v>2899</v>
      </c>
      <c r="D2591" s="25"/>
      <c r="E2591" s="39" t="str">
        <f>HYPERLINK("https://www.google.ru/search?q=1383544-572&amp;newwindow=1&amp;tbm=isch","Еще фото")</f>
        <v>Еще фото</v>
      </c>
      <c r="F2591" s="13"/>
      <c r="G2591" s="11" t="s">
        <v>2809</v>
      </c>
      <c r="H2591" s="11" t="s">
        <v>27</v>
      </c>
      <c r="I2591" s="14" t="s">
        <v>2784</v>
      </c>
      <c r="J2591" s="14" t="s">
        <v>29</v>
      </c>
      <c r="K2591" s="15" t="s">
        <v>64</v>
      </c>
      <c r="L2591" s="14" t="s">
        <v>2900</v>
      </c>
      <c r="M2591" s="14"/>
      <c r="N2591" s="14" t="s">
        <v>57</v>
      </c>
      <c r="O2591" s="14"/>
      <c r="P2591" s="15" t="s">
        <v>100</v>
      </c>
      <c r="Q2591" s="16">
        <v>4999</v>
      </c>
      <c r="R2591" s="17">
        <v>45.99</v>
      </c>
      <c r="S2591" s="18">
        <v>3104.9884999999995</v>
      </c>
      <c r="T2591" s="19" t="s">
        <v>36</v>
      </c>
      <c r="U2591" s="20" t="s">
        <v>69</v>
      </c>
      <c r="V2591" s="21" t="s">
        <v>70</v>
      </c>
      <c r="W2591" s="22">
        <v>1</v>
      </c>
      <c r="X2591" s="23"/>
    </row>
    <row r="2592" spans="1:24" s="1" customFormat="1" ht="108" customHeight="1" x14ac:dyDescent="0.3">
      <c r="A2592" s="11" t="s">
        <v>23</v>
      </c>
      <c r="B2592" s="11" t="s">
        <v>2901</v>
      </c>
      <c r="C2592" s="12" t="s">
        <v>2902</v>
      </c>
      <c r="D2592" s="25"/>
      <c r="E2592" s="39" t="str">
        <f>HYPERLINK("https://www.google.ru/search?q=6012766-100&amp;newwindow=1&amp;tbm=isch","Еще фото")</f>
        <v>Еще фото</v>
      </c>
      <c r="F2592" s="13"/>
      <c r="G2592" s="11" t="s">
        <v>2788</v>
      </c>
      <c r="H2592" s="11" t="s">
        <v>27</v>
      </c>
      <c r="I2592" s="14" t="s">
        <v>2784</v>
      </c>
      <c r="J2592" s="14" t="s">
        <v>212</v>
      </c>
      <c r="K2592" s="15" t="s">
        <v>30</v>
      </c>
      <c r="L2592" s="14" t="s">
        <v>2903</v>
      </c>
      <c r="M2592" s="14"/>
      <c r="N2592" s="14" t="s">
        <v>74</v>
      </c>
      <c r="O2592" s="14"/>
      <c r="P2592" s="15" t="s">
        <v>2601</v>
      </c>
      <c r="Q2592" s="16">
        <v>4999</v>
      </c>
      <c r="R2592" s="17">
        <v>45.99</v>
      </c>
      <c r="S2592" s="18">
        <v>3104.9884999999995</v>
      </c>
      <c r="T2592" s="19" t="s">
        <v>36</v>
      </c>
      <c r="U2592" s="20" t="s">
        <v>43</v>
      </c>
      <c r="V2592" s="21" t="s">
        <v>44</v>
      </c>
      <c r="W2592" s="22">
        <v>3</v>
      </c>
      <c r="X2592" s="23"/>
    </row>
    <row r="2593" spans="1:24" s="1" customFormat="1" ht="108" customHeight="1" x14ac:dyDescent="0.3">
      <c r="A2593" s="11" t="s">
        <v>23</v>
      </c>
      <c r="B2593" s="11" t="s">
        <v>2904</v>
      </c>
      <c r="C2593" s="12" t="s">
        <v>2905</v>
      </c>
      <c r="D2593" s="25"/>
      <c r="E2593" s="39" t="str">
        <f>HYPERLINK("https://www.google.ru/search?q=6006763-001&amp;newwindow=1&amp;tbm=isch","Еще фото")</f>
        <v>Еще фото</v>
      </c>
      <c r="F2593" s="13"/>
      <c r="G2593" s="11" t="s">
        <v>2788</v>
      </c>
      <c r="H2593" s="11" t="s">
        <v>27</v>
      </c>
      <c r="I2593" s="14" t="s">
        <v>2784</v>
      </c>
      <c r="J2593" s="14" t="s">
        <v>47</v>
      </c>
      <c r="K2593" s="15" t="s">
        <v>30</v>
      </c>
      <c r="L2593" s="14" t="s">
        <v>2906</v>
      </c>
      <c r="M2593" s="14"/>
      <c r="N2593" s="14" t="s">
        <v>33</v>
      </c>
      <c r="O2593" s="14"/>
      <c r="P2593" s="15" t="s">
        <v>2601</v>
      </c>
      <c r="Q2593" s="16">
        <v>8499</v>
      </c>
      <c r="R2593" s="17">
        <v>45.88</v>
      </c>
      <c r="S2593" s="18">
        <v>5289.9884999999995</v>
      </c>
      <c r="T2593" s="19" t="s">
        <v>36</v>
      </c>
      <c r="U2593" s="20" t="s">
        <v>37</v>
      </c>
      <c r="V2593" s="21" t="s">
        <v>38</v>
      </c>
      <c r="W2593" s="22">
        <v>2</v>
      </c>
      <c r="X2593" s="23"/>
    </row>
    <row r="2594" spans="1:24" s="1" customFormat="1" ht="108" customHeight="1" x14ac:dyDescent="0.3">
      <c r="A2594" s="11" t="s">
        <v>23</v>
      </c>
      <c r="B2594" s="11" t="s">
        <v>2907</v>
      </c>
      <c r="C2594" s="12" t="s">
        <v>2908</v>
      </c>
      <c r="D2594" s="25"/>
      <c r="E2594" s="39" t="str">
        <f>HYPERLINK("https://www.google.ru/search?q=1376791-600&amp;newwindow=1&amp;tbm=isch","Еще фото")</f>
        <v>Еще фото</v>
      </c>
      <c r="F2594" s="13"/>
      <c r="G2594" s="11" t="s">
        <v>2788</v>
      </c>
      <c r="H2594" s="11" t="s">
        <v>27</v>
      </c>
      <c r="I2594" s="14" t="s">
        <v>2784</v>
      </c>
      <c r="J2594" s="14" t="s">
        <v>29</v>
      </c>
      <c r="K2594" s="15" t="s">
        <v>30</v>
      </c>
      <c r="L2594" s="14" t="s">
        <v>2909</v>
      </c>
      <c r="M2594" s="14"/>
      <c r="N2594" s="14" t="s">
        <v>140</v>
      </c>
      <c r="O2594" s="14"/>
      <c r="P2594" s="15" t="s">
        <v>2401</v>
      </c>
      <c r="Q2594" s="16">
        <v>5899</v>
      </c>
      <c r="R2594" s="17">
        <v>45.75</v>
      </c>
      <c r="S2594" s="18">
        <v>3679.9884999999995</v>
      </c>
      <c r="T2594" s="19" t="s">
        <v>36</v>
      </c>
      <c r="U2594" s="20" t="s">
        <v>37</v>
      </c>
      <c r="V2594" s="21" t="s">
        <v>38</v>
      </c>
      <c r="W2594" s="22">
        <v>5</v>
      </c>
      <c r="X2594" s="23"/>
    </row>
    <row r="2595" spans="1:24" s="1" customFormat="1" ht="108" customHeight="1" x14ac:dyDescent="0.3">
      <c r="A2595" s="11" t="s">
        <v>23</v>
      </c>
      <c r="B2595" s="11" t="s">
        <v>2910</v>
      </c>
      <c r="C2595" s="12" t="s">
        <v>2911</v>
      </c>
      <c r="D2595" s="25"/>
      <c r="E2595" s="39" t="str">
        <f>HYPERLINK("https://www.google.ru/search?q=1387512-001&amp;newwindow=1&amp;tbm=isch","Еще фото")</f>
        <v>Еще фото</v>
      </c>
      <c r="F2595" s="13"/>
      <c r="G2595" s="11" t="s">
        <v>2788</v>
      </c>
      <c r="H2595" s="11" t="s">
        <v>27</v>
      </c>
      <c r="I2595" s="14" t="s">
        <v>2784</v>
      </c>
      <c r="J2595" s="14" t="s">
        <v>29</v>
      </c>
      <c r="K2595" s="15" t="s">
        <v>30</v>
      </c>
      <c r="L2595" s="14" t="s">
        <v>2912</v>
      </c>
      <c r="M2595" s="14"/>
      <c r="N2595" s="14" t="s">
        <v>33</v>
      </c>
      <c r="O2595" s="14"/>
      <c r="P2595" s="15" t="s">
        <v>2913</v>
      </c>
      <c r="Q2595" s="16">
        <v>10499</v>
      </c>
      <c r="R2595" s="17">
        <v>45.71</v>
      </c>
      <c r="S2595" s="18">
        <v>6554.9884999999995</v>
      </c>
      <c r="T2595" s="19" t="s">
        <v>36</v>
      </c>
      <c r="U2595" s="20" t="s">
        <v>37</v>
      </c>
      <c r="V2595" s="21" t="s">
        <v>38</v>
      </c>
      <c r="W2595" s="22">
        <v>1</v>
      </c>
      <c r="X2595" s="23"/>
    </row>
    <row r="2596" spans="1:24" s="1" customFormat="1" ht="108" customHeight="1" x14ac:dyDescent="0.3">
      <c r="A2596" s="11" t="s">
        <v>23</v>
      </c>
      <c r="B2596" s="11" t="s">
        <v>2914</v>
      </c>
      <c r="C2596" s="12" t="s">
        <v>2915</v>
      </c>
      <c r="D2596" s="25"/>
      <c r="E2596" s="39" t="str">
        <f>HYPERLINK("https://www.google.ru/search?q=1379141-348&amp;newwindow=1&amp;tbm=isch","Еще фото")</f>
        <v>Еще фото</v>
      </c>
      <c r="F2596" s="13"/>
      <c r="G2596" s="11" t="s">
        <v>2788</v>
      </c>
      <c r="H2596" s="11" t="s">
        <v>27</v>
      </c>
      <c r="I2596" s="14" t="s">
        <v>2784</v>
      </c>
      <c r="J2596" s="14" t="s">
        <v>29</v>
      </c>
      <c r="K2596" s="15" t="s">
        <v>64</v>
      </c>
      <c r="L2596" s="14" t="s">
        <v>2916</v>
      </c>
      <c r="M2596" s="14"/>
      <c r="N2596" s="14" t="s">
        <v>125</v>
      </c>
      <c r="O2596" s="14"/>
      <c r="P2596" s="15" t="s">
        <v>185</v>
      </c>
      <c r="Q2596" s="16">
        <v>4599</v>
      </c>
      <c r="R2596" s="17">
        <v>45.64</v>
      </c>
      <c r="S2596" s="18">
        <v>2874.9884999999995</v>
      </c>
      <c r="T2596" s="19" t="s">
        <v>36</v>
      </c>
      <c r="U2596" s="20" t="s">
        <v>69</v>
      </c>
      <c r="V2596" s="21" t="s">
        <v>70</v>
      </c>
      <c r="W2596" s="22">
        <v>1</v>
      </c>
      <c r="X2596" s="23"/>
    </row>
    <row r="2597" spans="1:24" s="1" customFormat="1" ht="108" customHeight="1" x14ac:dyDescent="0.3">
      <c r="A2597" s="11" t="s">
        <v>23</v>
      </c>
      <c r="B2597" s="11" t="s">
        <v>2917</v>
      </c>
      <c r="C2597" s="12" t="s">
        <v>2918</v>
      </c>
      <c r="D2597" s="25"/>
      <c r="E2597" s="39" t="str">
        <f>HYPERLINK("https://www.google.ru/search?q=1389705-001&amp;newwindow=1&amp;tbm=isch","Еще фото")</f>
        <v>Еще фото</v>
      </c>
      <c r="F2597" s="13"/>
      <c r="G2597" s="11" t="s">
        <v>2862</v>
      </c>
      <c r="H2597" s="11" t="s">
        <v>27</v>
      </c>
      <c r="I2597" s="14" t="s">
        <v>2784</v>
      </c>
      <c r="J2597" s="14" t="s">
        <v>29</v>
      </c>
      <c r="K2597" s="15" t="s">
        <v>64</v>
      </c>
      <c r="L2597" s="14" t="s">
        <v>2919</v>
      </c>
      <c r="M2597" s="14"/>
      <c r="N2597" s="14" t="s">
        <v>33</v>
      </c>
      <c r="O2597" s="14"/>
      <c r="P2597" s="15" t="s">
        <v>2920</v>
      </c>
      <c r="Q2597" s="16">
        <v>7899</v>
      </c>
      <c r="R2597" s="17">
        <v>45.56</v>
      </c>
      <c r="S2597" s="18">
        <v>4944.9884999999995</v>
      </c>
      <c r="T2597" s="19" t="s">
        <v>36</v>
      </c>
      <c r="U2597" s="20" t="s">
        <v>41</v>
      </c>
      <c r="V2597" s="21" t="s">
        <v>40</v>
      </c>
      <c r="W2597" s="22">
        <v>4</v>
      </c>
      <c r="X2597" s="23"/>
    </row>
    <row r="2598" spans="1:24" s="1" customFormat="1" ht="108" customHeight="1" x14ac:dyDescent="0.3">
      <c r="A2598" s="11" t="s">
        <v>23</v>
      </c>
      <c r="B2598" s="11" t="s">
        <v>2921</v>
      </c>
      <c r="C2598" s="12" t="s">
        <v>2922</v>
      </c>
      <c r="D2598" s="25"/>
      <c r="E2598" s="39" t="str">
        <f>HYPERLINK("https://www.google.ru/search?q=1389944-001&amp;newwindow=1&amp;tbm=isch","Еще фото")</f>
        <v>Еще фото</v>
      </c>
      <c r="F2598" s="13"/>
      <c r="G2598" s="11" t="s">
        <v>2788</v>
      </c>
      <c r="H2598" s="11" t="s">
        <v>27</v>
      </c>
      <c r="I2598" s="14" t="s">
        <v>2784</v>
      </c>
      <c r="J2598" s="14" t="s">
        <v>47</v>
      </c>
      <c r="K2598" s="15" t="s">
        <v>30</v>
      </c>
      <c r="L2598" s="14" t="s">
        <v>2923</v>
      </c>
      <c r="M2598" s="14"/>
      <c r="N2598" s="14" t="s">
        <v>33</v>
      </c>
      <c r="O2598" s="14"/>
      <c r="P2598" s="15" t="s">
        <v>2601</v>
      </c>
      <c r="Q2598" s="16">
        <v>6599</v>
      </c>
      <c r="R2598" s="17">
        <v>45.45</v>
      </c>
      <c r="S2598" s="18">
        <v>4139.9884999999995</v>
      </c>
      <c r="T2598" s="19" t="s">
        <v>36</v>
      </c>
      <c r="U2598" s="20" t="s">
        <v>37</v>
      </c>
      <c r="V2598" s="21" t="s">
        <v>38</v>
      </c>
      <c r="W2598" s="22">
        <v>1</v>
      </c>
      <c r="X2598" s="23"/>
    </row>
    <row r="2599" spans="1:24" s="1" customFormat="1" ht="108" customHeight="1" x14ac:dyDescent="0.3">
      <c r="A2599" s="11" t="s">
        <v>23</v>
      </c>
      <c r="B2599" s="11" t="s">
        <v>2924</v>
      </c>
      <c r="C2599" s="12" t="s">
        <v>2925</v>
      </c>
      <c r="D2599" s="25"/>
      <c r="E2599" s="39" t="str">
        <f>HYPERLINK("https://www.google.ru/search?q=6005031-002&amp;newwindow=1&amp;tbm=isch","Еще фото")</f>
        <v>Еще фото</v>
      </c>
      <c r="F2599" s="13"/>
      <c r="G2599" s="11" t="s">
        <v>2788</v>
      </c>
      <c r="H2599" s="11" t="s">
        <v>27</v>
      </c>
      <c r="I2599" s="14" t="s">
        <v>2784</v>
      </c>
      <c r="J2599" s="14" t="s">
        <v>47</v>
      </c>
      <c r="K2599" s="15" t="s">
        <v>30</v>
      </c>
      <c r="L2599" s="14"/>
      <c r="M2599" s="14"/>
      <c r="N2599" s="14" t="s">
        <v>33</v>
      </c>
      <c r="O2599" s="14"/>
      <c r="P2599" s="15" t="s">
        <v>2601</v>
      </c>
      <c r="Q2599" s="16">
        <v>6399</v>
      </c>
      <c r="R2599" s="17">
        <v>45.3</v>
      </c>
      <c r="S2599" s="18">
        <v>4024.9884999999995</v>
      </c>
      <c r="T2599" s="19" t="s">
        <v>36</v>
      </c>
      <c r="U2599" s="20" t="s">
        <v>69</v>
      </c>
      <c r="V2599" s="21" t="s">
        <v>75</v>
      </c>
      <c r="W2599" s="22">
        <v>4</v>
      </c>
      <c r="X2599" s="23"/>
    </row>
    <row r="2600" spans="1:24" s="1" customFormat="1" ht="108" customHeight="1" x14ac:dyDescent="0.3">
      <c r="A2600" s="11" t="s">
        <v>23</v>
      </c>
      <c r="B2600" s="11" t="s">
        <v>2926</v>
      </c>
      <c r="C2600" s="12" t="s">
        <v>2927</v>
      </c>
      <c r="D2600" s="25"/>
      <c r="E2600" s="39" t="str">
        <f>HYPERLINK("https://www.google.ru/search?q=1386915-709&amp;newwindow=1&amp;tbm=isch","Еще фото")</f>
        <v>Еще фото</v>
      </c>
      <c r="F2600" s="13"/>
      <c r="G2600" s="11" t="s">
        <v>2862</v>
      </c>
      <c r="H2600" s="11" t="s">
        <v>27</v>
      </c>
      <c r="I2600" s="14" t="s">
        <v>2784</v>
      </c>
      <c r="J2600" s="14" t="s">
        <v>29</v>
      </c>
      <c r="K2600" s="15" t="s">
        <v>30</v>
      </c>
      <c r="L2600" s="14" t="s">
        <v>2928</v>
      </c>
      <c r="M2600" s="14"/>
      <c r="N2600" s="14" t="s">
        <v>84</v>
      </c>
      <c r="O2600" s="14"/>
      <c r="P2600" s="15" t="s">
        <v>2801</v>
      </c>
      <c r="Q2600" s="16">
        <v>8399</v>
      </c>
      <c r="R2600" s="17">
        <v>45.23</v>
      </c>
      <c r="S2600" s="18">
        <v>5289.9884999999995</v>
      </c>
      <c r="T2600" s="19" t="s">
        <v>36</v>
      </c>
      <c r="U2600" s="20" t="s">
        <v>37</v>
      </c>
      <c r="V2600" s="21" t="s">
        <v>38</v>
      </c>
      <c r="W2600" s="22">
        <v>1</v>
      </c>
      <c r="X2600" s="23"/>
    </row>
    <row r="2601" spans="1:24" s="1" customFormat="1" ht="108" customHeight="1" x14ac:dyDescent="0.3">
      <c r="A2601" s="11" t="s">
        <v>23</v>
      </c>
      <c r="B2601" s="11" t="s">
        <v>2842</v>
      </c>
      <c r="C2601" s="12" t="s">
        <v>2929</v>
      </c>
      <c r="D2601" s="25"/>
      <c r="E2601" s="39" t="str">
        <f>HYPERLINK("https://www.google.ru/search?q=1361034-538&amp;newwindow=1&amp;tbm=isch","Еще фото")</f>
        <v>Еще фото</v>
      </c>
      <c r="F2601" s="13"/>
      <c r="G2601" s="11" t="s">
        <v>2809</v>
      </c>
      <c r="H2601" s="11" t="s">
        <v>27</v>
      </c>
      <c r="I2601" s="14" t="s">
        <v>2784</v>
      </c>
      <c r="J2601" s="14" t="s">
        <v>29</v>
      </c>
      <c r="K2601" s="15" t="s">
        <v>64</v>
      </c>
      <c r="L2601" s="14" t="s">
        <v>2930</v>
      </c>
      <c r="M2601" s="14"/>
      <c r="N2601" s="14" t="s">
        <v>67</v>
      </c>
      <c r="O2601" s="14"/>
      <c r="P2601" s="15" t="s">
        <v>100</v>
      </c>
      <c r="Q2601" s="16">
        <v>4199</v>
      </c>
      <c r="R2601" s="17">
        <v>45.23</v>
      </c>
      <c r="S2601" s="18">
        <v>2644.9884999999995</v>
      </c>
      <c r="T2601" s="19" t="s">
        <v>36</v>
      </c>
      <c r="U2601" s="20" t="s">
        <v>69</v>
      </c>
      <c r="V2601" s="21" t="s">
        <v>70</v>
      </c>
      <c r="W2601" s="22">
        <v>1</v>
      </c>
      <c r="X2601" s="23"/>
    </row>
    <row r="2602" spans="1:24" s="1" customFormat="1" ht="51.95" customHeight="1" x14ac:dyDescent="0.3">
      <c r="A2602" s="11" t="s">
        <v>23</v>
      </c>
      <c r="B2602" s="11" t="s">
        <v>2931</v>
      </c>
      <c r="C2602" s="12" t="s">
        <v>2932</v>
      </c>
      <c r="D2602" s="59"/>
      <c r="E2602" s="39" t="str">
        <f>HYPERLINK("https://www.google.ru/search?q=1378677-121&amp;newwindow=1&amp;tbm=isch","Еще фото")</f>
        <v>Еще фото</v>
      </c>
      <c r="F2602" s="13"/>
      <c r="G2602" s="11" t="s">
        <v>2804</v>
      </c>
      <c r="H2602" s="11" t="s">
        <v>27</v>
      </c>
      <c r="I2602" s="14" t="s">
        <v>2784</v>
      </c>
      <c r="J2602" s="14" t="s">
        <v>212</v>
      </c>
      <c r="K2602" s="15" t="s">
        <v>30</v>
      </c>
      <c r="L2602" s="56" t="s">
        <v>2933</v>
      </c>
      <c r="M2602" s="14"/>
      <c r="N2602" s="14" t="s">
        <v>74</v>
      </c>
      <c r="O2602" s="14"/>
      <c r="P2602" s="15" t="s">
        <v>2934</v>
      </c>
      <c r="Q2602" s="16">
        <v>6199</v>
      </c>
      <c r="R2602" s="17">
        <v>45.15</v>
      </c>
      <c r="S2602" s="18">
        <v>3909.9884999999995</v>
      </c>
      <c r="T2602" s="19" t="s">
        <v>36</v>
      </c>
      <c r="U2602" s="20" t="s">
        <v>92</v>
      </c>
      <c r="V2602" s="21" t="s">
        <v>93</v>
      </c>
      <c r="W2602" s="22">
        <v>1</v>
      </c>
      <c r="X2602" s="23"/>
    </row>
    <row r="2603" spans="1:24" s="1" customFormat="1" ht="60.95" customHeight="1" x14ac:dyDescent="0.3">
      <c r="A2603" s="24" t="s">
        <v>23</v>
      </c>
      <c r="B2603" s="24" t="s">
        <v>2931</v>
      </c>
      <c r="C2603" s="12" t="s">
        <v>2932</v>
      </c>
      <c r="D2603" s="60"/>
      <c r="E2603" s="39" t="str">
        <f>HYPERLINK("https://www.google.ru/search?q=1378677-121&amp;newwindow=1&amp;tbm=isch","Еще фото")</f>
        <v>Еще фото</v>
      </c>
      <c r="F2603" s="13"/>
      <c r="G2603" s="24" t="s">
        <v>2804</v>
      </c>
      <c r="H2603" s="24" t="s">
        <v>27</v>
      </c>
      <c r="I2603" s="24" t="s">
        <v>2784</v>
      </c>
      <c r="J2603" s="14" t="s">
        <v>212</v>
      </c>
      <c r="K2603" s="15" t="s">
        <v>30</v>
      </c>
      <c r="L2603" s="58"/>
      <c r="M2603" s="14"/>
      <c r="N2603" s="14" t="s">
        <v>74</v>
      </c>
      <c r="O2603" s="14"/>
      <c r="P2603" s="15" t="s">
        <v>2934</v>
      </c>
      <c r="Q2603" s="16">
        <v>6199</v>
      </c>
      <c r="R2603" s="17">
        <v>45.15</v>
      </c>
      <c r="S2603" s="18">
        <v>3909.9884999999995</v>
      </c>
      <c r="T2603" s="19" t="s">
        <v>36</v>
      </c>
      <c r="U2603" s="20" t="s">
        <v>94</v>
      </c>
      <c r="V2603" s="21" t="s">
        <v>95</v>
      </c>
      <c r="W2603" s="22">
        <v>1</v>
      </c>
      <c r="X2603" s="23"/>
    </row>
    <row r="2604" spans="1:24" s="1" customFormat="1" ht="108" customHeight="1" x14ac:dyDescent="0.3">
      <c r="A2604" s="11" t="s">
        <v>23</v>
      </c>
      <c r="B2604" s="11" t="s">
        <v>2935</v>
      </c>
      <c r="C2604" s="12" t="s">
        <v>2936</v>
      </c>
      <c r="D2604" s="25"/>
      <c r="E2604" s="39" t="str">
        <f>HYPERLINK("https://www.google.ru/search?q=6012778-011&amp;newwindow=1&amp;tbm=isch","Еще фото")</f>
        <v>Еще фото</v>
      </c>
      <c r="F2604" s="13"/>
      <c r="G2604" s="11" t="s">
        <v>2788</v>
      </c>
      <c r="H2604" s="11" t="s">
        <v>27</v>
      </c>
      <c r="I2604" s="14" t="s">
        <v>2784</v>
      </c>
      <c r="J2604" s="14" t="s">
        <v>47</v>
      </c>
      <c r="K2604" s="15" t="s">
        <v>30</v>
      </c>
      <c r="L2604" s="14" t="s">
        <v>2937</v>
      </c>
      <c r="M2604" s="14"/>
      <c r="N2604" s="14" t="s">
        <v>84</v>
      </c>
      <c r="O2604" s="14"/>
      <c r="P2604" s="15" t="s">
        <v>2601</v>
      </c>
      <c r="Q2604" s="16">
        <v>3099</v>
      </c>
      <c r="R2604" s="17">
        <v>45.14</v>
      </c>
      <c r="S2604" s="18">
        <v>1954.9884999999999</v>
      </c>
      <c r="T2604" s="19" t="s">
        <v>36</v>
      </c>
      <c r="U2604" s="20" t="s">
        <v>37</v>
      </c>
      <c r="V2604" s="21" t="s">
        <v>38</v>
      </c>
      <c r="W2604" s="22">
        <v>1</v>
      </c>
      <c r="X2604" s="23"/>
    </row>
    <row r="2605" spans="1:24" s="1" customFormat="1" ht="108" customHeight="1" x14ac:dyDescent="0.3">
      <c r="A2605" s="11" t="s">
        <v>23</v>
      </c>
      <c r="B2605" s="11" t="s">
        <v>2938</v>
      </c>
      <c r="C2605" s="12" t="s">
        <v>2939</v>
      </c>
      <c r="D2605" s="25"/>
      <c r="E2605" s="39" t="str">
        <f>HYPERLINK("https://www.google.ru/search?q=1373826-001&amp;newwindow=1&amp;tbm=isch","Еще фото")</f>
        <v>Еще фото</v>
      </c>
      <c r="F2605" s="13"/>
      <c r="G2605" s="11" t="s">
        <v>2809</v>
      </c>
      <c r="H2605" s="11" t="s">
        <v>27</v>
      </c>
      <c r="I2605" s="14" t="s">
        <v>2784</v>
      </c>
      <c r="J2605" s="14" t="s">
        <v>29</v>
      </c>
      <c r="K2605" s="15" t="s">
        <v>64</v>
      </c>
      <c r="L2605" s="14" t="s">
        <v>2940</v>
      </c>
      <c r="M2605" s="14"/>
      <c r="N2605" s="14" t="s">
        <v>33</v>
      </c>
      <c r="O2605" s="14"/>
      <c r="P2605" s="15" t="s">
        <v>185</v>
      </c>
      <c r="Q2605" s="16">
        <v>7099</v>
      </c>
      <c r="R2605" s="17">
        <v>45.06</v>
      </c>
      <c r="S2605" s="18">
        <v>4484.9884999999995</v>
      </c>
      <c r="T2605" s="19" t="s">
        <v>36</v>
      </c>
      <c r="U2605" s="20" t="s">
        <v>69</v>
      </c>
      <c r="V2605" s="21" t="s">
        <v>70</v>
      </c>
      <c r="W2605" s="22">
        <v>7</v>
      </c>
      <c r="X2605" s="23"/>
    </row>
    <row r="2606" spans="1:24" s="1" customFormat="1" ht="108" customHeight="1" x14ac:dyDescent="0.3">
      <c r="A2606" s="11" t="s">
        <v>23</v>
      </c>
      <c r="B2606" s="11" t="s">
        <v>2941</v>
      </c>
      <c r="C2606" s="12" t="s">
        <v>2942</v>
      </c>
      <c r="D2606" s="25"/>
      <c r="E2606" s="39" t="str">
        <f>HYPERLINK("https://www.google.ru/search?q=1383191-100&amp;newwindow=1&amp;tbm=isch","Еще фото")</f>
        <v>Еще фото</v>
      </c>
      <c r="F2606" s="13"/>
      <c r="G2606" s="11" t="s">
        <v>2788</v>
      </c>
      <c r="H2606" s="11" t="s">
        <v>27</v>
      </c>
      <c r="I2606" s="14" t="s">
        <v>2784</v>
      </c>
      <c r="J2606" s="14" t="s">
        <v>29</v>
      </c>
      <c r="K2606" s="15" t="s">
        <v>30</v>
      </c>
      <c r="L2606" s="14" t="s">
        <v>2943</v>
      </c>
      <c r="M2606" s="14"/>
      <c r="N2606" s="14" t="s">
        <v>74</v>
      </c>
      <c r="O2606" s="14"/>
      <c r="P2606" s="15" t="s">
        <v>2601</v>
      </c>
      <c r="Q2606" s="16">
        <v>7099</v>
      </c>
      <c r="R2606" s="17">
        <v>45.06</v>
      </c>
      <c r="S2606" s="18">
        <v>4484.9884999999995</v>
      </c>
      <c r="T2606" s="19" t="s">
        <v>36</v>
      </c>
      <c r="U2606" s="20" t="s">
        <v>37</v>
      </c>
      <c r="V2606" s="21" t="s">
        <v>38</v>
      </c>
      <c r="W2606" s="22">
        <v>54</v>
      </c>
      <c r="X2606" s="23"/>
    </row>
    <row r="2607" spans="1:24" s="1" customFormat="1" ht="35.1" customHeight="1" x14ac:dyDescent="0.3">
      <c r="A2607" s="11" t="s">
        <v>23</v>
      </c>
      <c r="B2607" s="11" t="s">
        <v>2944</v>
      </c>
      <c r="C2607" s="12" t="s">
        <v>2945</v>
      </c>
      <c r="D2607" s="53"/>
      <c r="E2607" s="39" t="str">
        <f>HYPERLINK("https://www.google.ru/search?q=1383010-338&amp;newwindow=1&amp;tbm=isch","Еще фото")</f>
        <v>Еще фото</v>
      </c>
      <c r="F2607" s="13"/>
      <c r="G2607" s="11" t="s">
        <v>2788</v>
      </c>
      <c r="H2607" s="11" t="s">
        <v>27</v>
      </c>
      <c r="I2607" s="14" t="s">
        <v>2784</v>
      </c>
      <c r="J2607" s="14" t="s">
        <v>29</v>
      </c>
      <c r="K2607" s="15" t="s">
        <v>54</v>
      </c>
      <c r="L2607" s="56" t="s">
        <v>2946</v>
      </c>
      <c r="M2607" s="14"/>
      <c r="N2607" s="14" t="s">
        <v>125</v>
      </c>
      <c r="O2607" s="14"/>
      <c r="P2607" s="15" t="s">
        <v>51</v>
      </c>
      <c r="Q2607" s="16">
        <v>2299</v>
      </c>
      <c r="R2607" s="17">
        <v>43</v>
      </c>
      <c r="S2607" s="18">
        <v>1506.9945</v>
      </c>
      <c r="T2607" s="19" t="s">
        <v>36</v>
      </c>
      <c r="U2607" s="20" t="s">
        <v>114</v>
      </c>
      <c r="V2607" s="21" t="s">
        <v>115</v>
      </c>
      <c r="W2607" s="22">
        <v>3</v>
      </c>
      <c r="X2607" s="23"/>
    </row>
    <row r="2608" spans="1:24" s="1" customFormat="1" ht="35.1" customHeight="1" x14ac:dyDescent="0.3">
      <c r="A2608" s="24" t="s">
        <v>23</v>
      </c>
      <c r="B2608" s="24" t="s">
        <v>2944</v>
      </c>
      <c r="C2608" s="12" t="s">
        <v>2945</v>
      </c>
      <c r="D2608" s="54"/>
      <c r="E2608" s="39" t="str">
        <f>HYPERLINK("https://www.google.ru/search?q=1383010-338&amp;newwindow=1&amp;tbm=isch","Еще фото")</f>
        <v>Еще фото</v>
      </c>
      <c r="F2608" s="13"/>
      <c r="G2608" s="24" t="s">
        <v>2788</v>
      </c>
      <c r="H2608" s="24" t="s">
        <v>27</v>
      </c>
      <c r="I2608" s="24" t="s">
        <v>2784</v>
      </c>
      <c r="J2608" s="14" t="s">
        <v>29</v>
      </c>
      <c r="K2608" s="15" t="s">
        <v>54</v>
      </c>
      <c r="L2608" s="57"/>
      <c r="M2608" s="14"/>
      <c r="N2608" s="14" t="s">
        <v>125</v>
      </c>
      <c r="O2608" s="14"/>
      <c r="P2608" s="15" t="s">
        <v>51</v>
      </c>
      <c r="Q2608" s="16">
        <v>2299</v>
      </c>
      <c r="R2608" s="17">
        <v>43</v>
      </c>
      <c r="S2608" s="18">
        <v>1506.9945</v>
      </c>
      <c r="T2608" s="19" t="s">
        <v>36</v>
      </c>
      <c r="U2608" s="20" t="s">
        <v>126</v>
      </c>
      <c r="V2608" s="21" t="s">
        <v>127</v>
      </c>
      <c r="W2608" s="22">
        <v>7</v>
      </c>
      <c r="X2608" s="23"/>
    </row>
    <row r="2609" spans="1:24" s="1" customFormat="1" ht="36.950000000000003" customHeight="1" x14ac:dyDescent="0.3">
      <c r="A2609" s="24" t="s">
        <v>23</v>
      </c>
      <c r="B2609" s="24" t="s">
        <v>2944</v>
      </c>
      <c r="C2609" s="12" t="s">
        <v>2945</v>
      </c>
      <c r="D2609" s="55"/>
      <c r="E2609" s="39" t="str">
        <f>HYPERLINK("https://www.google.ru/search?q=1383010-338&amp;newwindow=1&amp;tbm=isch","Еще фото")</f>
        <v>Еще фото</v>
      </c>
      <c r="F2609" s="13"/>
      <c r="G2609" s="24" t="s">
        <v>2788</v>
      </c>
      <c r="H2609" s="24" t="s">
        <v>27</v>
      </c>
      <c r="I2609" s="24" t="s">
        <v>2784</v>
      </c>
      <c r="J2609" s="14" t="s">
        <v>29</v>
      </c>
      <c r="K2609" s="15" t="s">
        <v>54</v>
      </c>
      <c r="L2609" s="58"/>
      <c r="M2609" s="14"/>
      <c r="N2609" s="14" t="s">
        <v>125</v>
      </c>
      <c r="O2609" s="14"/>
      <c r="P2609" s="15" t="s">
        <v>51</v>
      </c>
      <c r="Q2609" s="16">
        <v>2299</v>
      </c>
      <c r="R2609" s="17">
        <v>43</v>
      </c>
      <c r="S2609" s="18">
        <v>1506.9945</v>
      </c>
      <c r="T2609" s="19" t="s">
        <v>36</v>
      </c>
      <c r="U2609" s="20" t="s">
        <v>130</v>
      </c>
      <c r="V2609" s="21" t="s">
        <v>131</v>
      </c>
      <c r="W2609" s="22">
        <v>2</v>
      </c>
      <c r="X2609" s="23"/>
    </row>
    <row r="2610" spans="1:24" s="1" customFormat="1" ht="35.1" customHeight="1" x14ac:dyDescent="0.3">
      <c r="A2610" s="11" t="s">
        <v>23</v>
      </c>
      <c r="B2610" s="11" t="s">
        <v>2947</v>
      </c>
      <c r="C2610" s="12" t="s">
        <v>2948</v>
      </c>
      <c r="D2610" s="53"/>
      <c r="E2610" s="39" t="str">
        <f>HYPERLINK("https://www.google.ru/search?q=1290140-429&amp;newwindow=1&amp;tbm=isch","Еще фото")</f>
        <v>Еще фото</v>
      </c>
      <c r="F2610" s="13"/>
      <c r="G2610" s="11" t="s">
        <v>2804</v>
      </c>
      <c r="H2610" s="11" t="s">
        <v>27</v>
      </c>
      <c r="I2610" s="14" t="s">
        <v>2784</v>
      </c>
      <c r="J2610" s="14" t="s">
        <v>212</v>
      </c>
      <c r="K2610" s="15" t="s">
        <v>30</v>
      </c>
      <c r="L2610" s="56"/>
      <c r="M2610" s="14"/>
      <c r="N2610" s="14" t="s">
        <v>50</v>
      </c>
      <c r="O2610" s="14"/>
      <c r="P2610" s="15" t="s">
        <v>51</v>
      </c>
      <c r="Q2610" s="16">
        <v>4299</v>
      </c>
      <c r="R2610" s="17">
        <v>40</v>
      </c>
      <c r="S2610" s="18">
        <v>2966.31</v>
      </c>
      <c r="T2610" s="19" t="s">
        <v>36</v>
      </c>
      <c r="U2610" s="20" t="s">
        <v>37</v>
      </c>
      <c r="V2610" s="21" t="s">
        <v>38</v>
      </c>
      <c r="W2610" s="22">
        <v>2</v>
      </c>
      <c r="X2610" s="23"/>
    </row>
    <row r="2611" spans="1:24" s="1" customFormat="1" ht="35.1" customHeight="1" x14ac:dyDescent="0.3">
      <c r="A2611" s="24" t="s">
        <v>23</v>
      </c>
      <c r="B2611" s="24" t="s">
        <v>2947</v>
      </c>
      <c r="C2611" s="12" t="s">
        <v>2948</v>
      </c>
      <c r="D2611" s="54"/>
      <c r="E2611" s="39" t="str">
        <f>HYPERLINK("https://www.google.ru/search?q=1290140-429&amp;newwindow=1&amp;tbm=isch","Еще фото")</f>
        <v>Еще фото</v>
      </c>
      <c r="F2611" s="13"/>
      <c r="G2611" s="24" t="s">
        <v>2804</v>
      </c>
      <c r="H2611" s="24" t="s">
        <v>27</v>
      </c>
      <c r="I2611" s="24" t="s">
        <v>2784</v>
      </c>
      <c r="J2611" s="14" t="s">
        <v>212</v>
      </c>
      <c r="K2611" s="15" t="s">
        <v>30</v>
      </c>
      <c r="L2611" s="57"/>
      <c r="M2611" s="14"/>
      <c r="N2611" s="14" t="s">
        <v>50</v>
      </c>
      <c r="O2611" s="14"/>
      <c r="P2611" s="15" t="s">
        <v>51</v>
      </c>
      <c r="Q2611" s="16">
        <v>4299</v>
      </c>
      <c r="R2611" s="17">
        <v>40</v>
      </c>
      <c r="S2611" s="18">
        <v>2966.31</v>
      </c>
      <c r="T2611" s="19" t="s">
        <v>36</v>
      </c>
      <c r="U2611" s="20" t="s">
        <v>39</v>
      </c>
      <c r="V2611" s="21" t="s">
        <v>40</v>
      </c>
      <c r="W2611" s="22">
        <v>1</v>
      </c>
      <c r="X2611" s="23"/>
    </row>
    <row r="2612" spans="1:24" s="1" customFormat="1" ht="36.950000000000003" customHeight="1" x14ac:dyDescent="0.3">
      <c r="A2612" s="24" t="s">
        <v>23</v>
      </c>
      <c r="B2612" s="24" t="s">
        <v>2947</v>
      </c>
      <c r="C2612" s="12" t="s">
        <v>2948</v>
      </c>
      <c r="D2612" s="55"/>
      <c r="E2612" s="39" t="str">
        <f>HYPERLINK("https://www.google.ru/search?q=1290140-429&amp;newwindow=1&amp;tbm=isch","Еще фото")</f>
        <v>Еще фото</v>
      </c>
      <c r="F2612" s="13"/>
      <c r="G2612" s="24" t="s">
        <v>2804</v>
      </c>
      <c r="H2612" s="24" t="s">
        <v>27</v>
      </c>
      <c r="I2612" s="24" t="s">
        <v>2784</v>
      </c>
      <c r="J2612" s="14" t="s">
        <v>212</v>
      </c>
      <c r="K2612" s="15" t="s">
        <v>30</v>
      </c>
      <c r="L2612" s="58"/>
      <c r="M2612" s="14"/>
      <c r="N2612" s="14" t="s">
        <v>50</v>
      </c>
      <c r="O2612" s="14"/>
      <c r="P2612" s="15" t="s">
        <v>51</v>
      </c>
      <c r="Q2612" s="16">
        <v>4299</v>
      </c>
      <c r="R2612" s="17">
        <v>40</v>
      </c>
      <c r="S2612" s="18">
        <v>2966.31</v>
      </c>
      <c r="T2612" s="19" t="s">
        <v>36</v>
      </c>
      <c r="U2612" s="20" t="s">
        <v>43</v>
      </c>
      <c r="V2612" s="21" t="s">
        <v>44</v>
      </c>
      <c r="W2612" s="22">
        <v>2</v>
      </c>
      <c r="X2612" s="23"/>
    </row>
    <row r="2613" spans="1:24" s="1" customFormat="1" ht="108" customHeight="1" x14ac:dyDescent="0.3">
      <c r="A2613" s="11" t="s">
        <v>23</v>
      </c>
      <c r="B2613" s="11" t="s">
        <v>2947</v>
      </c>
      <c r="C2613" s="12" t="s">
        <v>2949</v>
      </c>
      <c r="D2613" s="25"/>
      <c r="E2613" s="39" t="str">
        <f>HYPERLINK("https://www.google.ru/search?q=1290140-453&amp;newwindow=1&amp;tbm=isch","Еще фото")</f>
        <v>Еще фото</v>
      </c>
      <c r="F2613" s="13"/>
      <c r="G2613" s="11" t="s">
        <v>2804</v>
      </c>
      <c r="H2613" s="11" t="s">
        <v>27</v>
      </c>
      <c r="I2613" s="14" t="s">
        <v>2784</v>
      </c>
      <c r="J2613" s="14" t="s">
        <v>212</v>
      </c>
      <c r="K2613" s="15" t="s">
        <v>30</v>
      </c>
      <c r="L2613" s="14" t="s">
        <v>2950</v>
      </c>
      <c r="M2613" s="14"/>
      <c r="N2613" s="14" t="s">
        <v>91</v>
      </c>
      <c r="O2613" s="14"/>
      <c r="P2613" s="15" t="s">
        <v>51</v>
      </c>
      <c r="Q2613" s="16">
        <v>4799</v>
      </c>
      <c r="R2613" s="17">
        <v>40</v>
      </c>
      <c r="S2613" s="18">
        <v>3311.31</v>
      </c>
      <c r="T2613" s="19" t="s">
        <v>36</v>
      </c>
      <c r="U2613" s="20" t="s">
        <v>39</v>
      </c>
      <c r="V2613" s="21" t="s">
        <v>40</v>
      </c>
      <c r="W2613" s="22">
        <v>1</v>
      </c>
      <c r="X2613" s="23"/>
    </row>
    <row r="2614" spans="1:24" s="1" customFormat="1" ht="108" customHeight="1" x14ac:dyDescent="0.3">
      <c r="A2614" s="11" t="s">
        <v>23</v>
      </c>
      <c r="B2614" s="11" t="s">
        <v>2951</v>
      </c>
      <c r="C2614" s="12" t="s">
        <v>2952</v>
      </c>
      <c r="D2614" s="25"/>
      <c r="E2614" s="39" t="str">
        <f>HYPERLINK("https://www.google.ru/search?q=1326413-036&amp;newwindow=1&amp;tbm=isch","Еще фото")</f>
        <v>Еще фото</v>
      </c>
      <c r="F2614" s="13" t="s">
        <v>98</v>
      </c>
      <c r="G2614" s="11" t="s">
        <v>2788</v>
      </c>
      <c r="H2614" s="11" t="s">
        <v>27</v>
      </c>
      <c r="I2614" s="14" t="s">
        <v>2784</v>
      </c>
      <c r="J2614" s="14" t="s">
        <v>29</v>
      </c>
      <c r="K2614" s="15" t="s">
        <v>30</v>
      </c>
      <c r="L2614" s="14" t="s">
        <v>2953</v>
      </c>
      <c r="M2614" s="14" t="s">
        <v>2434</v>
      </c>
      <c r="N2614" s="14" t="s">
        <v>84</v>
      </c>
      <c r="O2614" s="14" t="s">
        <v>831</v>
      </c>
      <c r="P2614" s="15" t="s">
        <v>133</v>
      </c>
      <c r="Q2614" s="16">
        <v>2799</v>
      </c>
      <c r="R2614" s="17">
        <v>40</v>
      </c>
      <c r="S2614" s="18">
        <v>1931.31</v>
      </c>
      <c r="T2614" s="19" t="s">
        <v>36</v>
      </c>
      <c r="U2614" s="20" t="s">
        <v>37</v>
      </c>
      <c r="V2614" s="21" t="s">
        <v>38</v>
      </c>
      <c r="W2614" s="22">
        <v>1</v>
      </c>
      <c r="X2614" s="23"/>
    </row>
    <row r="2615" spans="1:24" s="1" customFormat="1" ht="108" customHeight="1" x14ac:dyDescent="0.3">
      <c r="A2615" s="11" t="s">
        <v>23</v>
      </c>
      <c r="B2615" s="11" t="s">
        <v>2954</v>
      </c>
      <c r="C2615" s="12" t="s">
        <v>2955</v>
      </c>
      <c r="D2615" s="25"/>
      <c r="E2615" s="39" t="str">
        <f>HYPERLINK("https://www.google.ru/search?q=1326799-036&amp;newwindow=1&amp;tbm=isch","Еще фото")</f>
        <v>Еще фото</v>
      </c>
      <c r="F2615" s="13" t="s">
        <v>98</v>
      </c>
      <c r="G2615" s="11" t="s">
        <v>2788</v>
      </c>
      <c r="H2615" s="11" t="s">
        <v>27</v>
      </c>
      <c r="I2615" s="14" t="s">
        <v>2784</v>
      </c>
      <c r="J2615" s="14" t="s">
        <v>29</v>
      </c>
      <c r="K2615" s="15" t="s">
        <v>30</v>
      </c>
      <c r="L2615" s="14" t="s">
        <v>2956</v>
      </c>
      <c r="M2615" s="14" t="s">
        <v>49</v>
      </c>
      <c r="N2615" s="14" t="s">
        <v>84</v>
      </c>
      <c r="O2615" s="14" t="s">
        <v>34</v>
      </c>
      <c r="P2615" s="15" t="s">
        <v>2601</v>
      </c>
      <c r="Q2615" s="16">
        <v>2699</v>
      </c>
      <c r="R2615" s="17">
        <v>40</v>
      </c>
      <c r="S2615" s="18">
        <v>1862.31</v>
      </c>
      <c r="T2615" s="19" t="s">
        <v>36</v>
      </c>
      <c r="U2615" s="20" t="s">
        <v>37</v>
      </c>
      <c r="V2615" s="21" t="s">
        <v>38</v>
      </c>
      <c r="W2615" s="22">
        <v>3</v>
      </c>
      <c r="X2615" s="23"/>
    </row>
    <row r="2616" spans="1:24" s="1" customFormat="1" ht="108" customHeight="1" x14ac:dyDescent="0.3">
      <c r="A2616" s="11" t="s">
        <v>23</v>
      </c>
      <c r="B2616" s="11" t="s">
        <v>2954</v>
      </c>
      <c r="C2616" s="12" t="s">
        <v>2957</v>
      </c>
      <c r="D2616" s="25"/>
      <c r="E2616" s="39" t="str">
        <f>HYPERLINK("https://www.google.ru/search?q=1326799-600&amp;newwindow=1&amp;tbm=isch","Еще фото")</f>
        <v>Еще фото</v>
      </c>
      <c r="F2616" s="13" t="s">
        <v>98</v>
      </c>
      <c r="G2616" s="11" t="s">
        <v>2788</v>
      </c>
      <c r="H2616" s="11" t="s">
        <v>27</v>
      </c>
      <c r="I2616" s="14" t="s">
        <v>2784</v>
      </c>
      <c r="J2616" s="14" t="s">
        <v>29</v>
      </c>
      <c r="K2616" s="15" t="s">
        <v>30</v>
      </c>
      <c r="L2616" s="14" t="s">
        <v>2958</v>
      </c>
      <c r="M2616" s="14" t="s">
        <v>49</v>
      </c>
      <c r="N2616" s="14" t="s">
        <v>140</v>
      </c>
      <c r="O2616" s="14" t="s">
        <v>34</v>
      </c>
      <c r="P2616" s="15" t="s">
        <v>2601</v>
      </c>
      <c r="Q2616" s="16">
        <v>2199</v>
      </c>
      <c r="R2616" s="17">
        <v>40</v>
      </c>
      <c r="S2616" s="18">
        <v>1517.31</v>
      </c>
      <c r="T2616" s="19" t="s">
        <v>36</v>
      </c>
      <c r="U2616" s="20" t="s">
        <v>37</v>
      </c>
      <c r="V2616" s="21" t="s">
        <v>38</v>
      </c>
      <c r="W2616" s="22">
        <v>4</v>
      </c>
      <c r="X2616" s="23"/>
    </row>
    <row r="2617" spans="1:24" s="1" customFormat="1" ht="108" customHeight="1" x14ac:dyDescent="0.3">
      <c r="A2617" s="11" t="s">
        <v>23</v>
      </c>
      <c r="B2617" s="11" t="s">
        <v>2959</v>
      </c>
      <c r="C2617" s="12" t="s">
        <v>2960</v>
      </c>
      <c r="D2617" s="25"/>
      <c r="E2617" s="39" t="str">
        <f>HYPERLINK("https://www.google.ru/search?q=1326799-604&amp;newwindow=1&amp;tbm=isch","Еще фото")</f>
        <v>Еще фото</v>
      </c>
      <c r="F2617" s="13"/>
      <c r="G2617" s="11" t="s">
        <v>2788</v>
      </c>
      <c r="H2617" s="11" t="s">
        <v>27</v>
      </c>
      <c r="I2617" s="14" t="s">
        <v>2784</v>
      </c>
      <c r="J2617" s="14" t="s">
        <v>47</v>
      </c>
      <c r="K2617" s="15" t="s">
        <v>30</v>
      </c>
      <c r="L2617" s="14" t="s">
        <v>2956</v>
      </c>
      <c r="M2617" s="14" t="s">
        <v>49</v>
      </c>
      <c r="N2617" s="14" t="s">
        <v>57</v>
      </c>
      <c r="O2617" s="14"/>
      <c r="P2617" s="15" t="s">
        <v>2856</v>
      </c>
      <c r="Q2617" s="16">
        <v>2199</v>
      </c>
      <c r="R2617" s="17">
        <v>40</v>
      </c>
      <c r="S2617" s="18">
        <v>1517.31</v>
      </c>
      <c r="T2617" s="19" t="s">
        <v>36</v>
      </c>
      <c r="U2617" s="20" t="s">
        <v>39</v>
      </c>
      <c r="V2617" s="21" t="s">
        <v>40</v>
      </c>
      <c r="W2617" s="22">
        <v>1</v>
      </c>
      <c r="X2617" s="23"/>
    </row>
    <row r="2618" spans="1:24" s="1" customFormat="1" ht="108" customHeight="1" x14ac:dyDescent="0.3">
      <c r="A2618" s="11" t="s">
        <v>23</v>
      </c>
      <c r="B2618" s="11" t="s">
        <v>2961</v>
      </c>
      <c r="C2618" s="12" t="s">
        <v>2962</v>
      </c>
      <c r="D2618" s="25"/>
      <c r="E2618" s="39" t="str">
        <f>HYPERLINK("https://www.google.ru/search?q=1328964-402&amp;newwindow=1&amp;tbm=isch","Еще фото")</f>
        <v>Еще фото</v>
      </c>
      <c r="F2618" s="13"/>
      <c r="G2618" s="11" t="s">
        <v>2788</v>
      </c>
      <c r="H2618" s="11" t="s">
        <v>27</v>
      </c>
      <c r="I2618" s="14" t="s">
        <v>2784</v>
      </c>
      <c r="J2618" s="14" t="s">
        <v>29</v>
      </c>
      <c r="K2618" s="15" t="s">
        <v>64</v>
      </c>
      <c r="L2618" s="14" t="s">
        <v>2963</v>
      </c>
      <c r="M2618" s="14"/>
      <c r="N2618" s="14" t="s">
        <v>91</v>
      </c>
      <c r="O2618" s="14"/>
      <c r="P2618" s="15" t="s">
        <v>2744</v>
      </c>
      <c r="Q2618" s="16">
        <v>3899</v>
      </c>
      <c r="R2618" s="17">
        <v>40</v>
      </c>
      <c r="S2618" s="18">
        <v>2690.31</v>
      </c>
      <c r="T2618" s="19" t="s">
        <v>36</v>
      </c>
      <c r="U2618" s="20" t="s">
        <v>69</v>
      </c>
      <c r="V2618" s="21" t="s">
        <v>70</v>
      </c>
      <c r="W2618" s="22">
        <v>1</v>
      </c>
      <c r="X2618" s="23"/>
    </row>
    <row r="2619" spans="1:24" s="1" customFormat="1" ht="108" customHeight="1" x14ac:dyDescent="0.3">
      <c r="A2619" s="11" t="s">
        <v>23</v>
      </c>
      <c r="B2619" s="11" t="s">
        <v>2964</v>
      </c>
      <c r="C2619" s="12" t="s">
        <v>2965</v>
      </c>
      <c r="D2619" s="25"/>
      <c r="E2619" s="39" t="str">
        <f>HYPERLINK("https://www.google.ru/search?q=1356305-001&amp;newwindow=1&amp;tbm=isch","Еще фото")</f>
        <v>Еще фото</v>
      </c>
      <c r="F2619" s="13"/>
      <c r="G2619" s="11" t="s">
        <v>2788</v>
      </c>
      <c r="H2619" s="11" t="s">
        <v>27</v>
      </c>
      <c r="I2619" s="14" t="s">
        <v>2784</v>
      </c>
      <c r="J2619" s="14" t="s">
        <v>29</v>
      </c>
      <c r="K2619" s="15" t="s">
        <v>64</v>
      </c>
      <c r="L2619" s="14" t="s">
        <v>2966</v>
      </c>
      <c r="M2619" s="14" t="s">
        <v>49</v>
      </c>
      <c r="N2619" s="14" t="s">
        <v>33</v>
      </c>
      <c r="O2619" s="14"/>
      <c r="P2619" s="15" t="s">
        <v>2601</v>
      </c>
      <c r="Q2619" s="16">
        <v>2699</v>
      </c>
      <c r="R2619" s="17">
        <v>40</v>
      </c>
      <c r="S2619" s="18">
        <v>1862.31</v>
      </c>
      <c r="T2619" s="19" t="s">
        <v>36</v>
      </c>
      <c r="U2619" s="20" t="s">
        <v>69</v>
      </c>
      <c r="V2619" s="21" t="s">
        <v>70</v>
      </c>
      <c r="W2619" s="22">
        <v>8</v>
      </c>
      <c r="X2619" s="23"/>
    </row>
    <row r="2620" spans="1:24" s="1" customFormat="1" ht="51.95" customHeight="1" x14ac:dyDescent="0.3">
      <c r="A2620" s="11" t="s">
        <v>23</v>
      </c>
      <c r="B2620" s="11" t="s">
        <v>2964</v>
      </c>
      <c r="C2620" s="12" t="s">
        <v>2967</v>
      </c>
      <c r="D2620" s="59"/>
      <c r="E2620" s="39" t="str">
        <f>HYPERLINK("https://www.google.ru/search?q=1356305-002&amp;newwindow=1&amp;tbm=isch","Еще фото")</f>
        <v>Еще фото</v>
      </c>
      <c r="F2620" s="13"/>
      <c r="G2620" s="11" t="s">
        <v>2788</v>
      </c>
      <c r="H2620" s="11" t="s">
        <v>27</v>
      </c>
      <c r="I2620" s="14" t="s">
        <v>2784</v>
      </c>
      <c r="J2620" s="14" t="s">
        <v>29</v>
      </c>
      <c r="K2620" s="15" t="s">
        <v>64</v>
      </c>
      <c r="L2620" s="56" t="s">
        <v>2966</v>
      </c>
      <c r="M2620" s="14" t="s">
        <v>49</v>
      </c>
      <c r="N2620" s="14" t="s">
        <v>33</v>
      </c>
      <c r="O2620" s="14" t="s">
        <v>34</v>
      </c>
      <c r="P2620" s="15" t="s">
        <v>2601</v>
      </c>
      <c r="Q2620" s="16">
        <v>3399</v>
      </c>
      <c r="R2620" s="17">
        <v>40</v>
      </c>
      <c r="S2620" s="18">
        <v>2345.31</v>
      </c>
      <c r="T2620" s="19" t="s">
        <v>36</v>
      </c>
      <c r="U2620" s="20" t="s">
        <v>69</v>
      </c>
      <c r="V2620" s="21" t="s">
        <v>70</v>
      </c>
      <c r="W2620" s="22">
        <v>1</v>
      </c>
      <c r="X2620" s="23"/>
    </row>
    <row r="2621" spans="1:24" s="1" customFormat="1" ht="60.95" customHeight="1" x14ac:dyDescent="0.3">
      <c r="A2621" s="24" t="s">
        <v>23</v>
      </c>
      <c r="B2621" s="24" t="s">
        <v>2964</v>
      </c>
      <c r="C2621" s="12" t="s">
        <v>2967</v>
      </c>
      <c r="D2621" s="60"/>
      <c r="E2621" s="39" t="str">
        <f>HYPERLINK("https://www.google.ru/search?q=1356305-002&amp;newwindow=1&amp;tbm=isch","Еще фото")</f>
        <v>Еще фото</v>
      </c>
      <c r="F2621" s="13"/>
      <c r="G2621" s="24" t="s">
        <v>2788</v>
      </c>
      <c r="H2621" s="24" t="s">
        <v>27</v>
      </c>
      <c r="I2621" s="24" t="s">
        <v>2784</v>
      </c>
      <c r="J2621" s="14" t="s">
        <v>29</v>
      </c>
      <c r="K2621" s="15" t="s">
        <v>64</v>
      </c>
      <c r="L2621" s="58"/>
      <c r="M2621" s="14" t="s">
        <v>49</v>
      </c>
      <c r="N2621" s="14" t="s">
        <v>33</v>
      </c>
      <c r="O2621" s="14" t="s">
        <v>34</v>
      </c>
      <c r="P2621" s="15" t="s">
        <v>2601</v>
      </c>
      <c r="Q2621" s="16">
        <v>3399</v>
      </c>
      <c r="R2621" s="17">
        <v>40</v>
      </c>
      <c r="S2621" s="18">
        <v>2345.31</v>
      </c>
      <c r="T2621" s="19" t="s">
        <v>36</v>
      </c>
      <c r="U2621" s="20" t="s">
        <v>37</v>
      </c>
      <c r="V2621" s="21" t="s">
        <v>86</v>
      </c>
      <c r="W2621" s="22">
        <v>1</v>
      </c>
      <c r="X2621" s="23"/>
    </row>
    <row r="2622" spans="1:24" s="1" customFormat="1" ht="108" customHeight="1" x14ac:dyDescent="0.3">
      <c r="A2622" s="11" t="s">
        <v>23</v>
      </c>
      <c r="B2622" s="11" t="s">
        <v>2968</v>
      </c>
      <c r="C2622" s="12" t="s">
        <v>2969</v>
      </c>
      <c r="D2622" s="25"/>
      <c r="E2622" s="39" t="str">
        <f>HYPERLINK("https://www.google.ru/search?q=1356305-009&amp;newwindow=1&amp;tbm=isch","Еще фото")</f>
        <v>Еще фото</v>
      </c>
      <c r="F2622" s="13"/>
      <c r="G2622" s="11" t="s">
        <v>2788</v>
      </c>
      <c r="H2622" s="11" t="s">
        <v>27</v>
      </c>
      <c r="I2622" s="14" t="s">
        <v>2784</v>
      </c>
      <c r="J2622" s="14" t="s">
        <v>47</v>
      </c>
      <c r="K2622" s="15" t="s">
        <v>64</v>
      </c>
      <c r="L2622" s="14" t="s">
        <v>2880</v>
      </c>
      <c r="M2622" s="14"/>
      <c r="N2622" s="14" t="s">
        <v>84</v>
      </c>
      <c r="O2622" s="14"/>
      <c r="P2622" s="15" t="s">
        <v>2601</v>
      </c>
      <c r="Q2622" s="16">
        <v>2899</v>
      </c>
      <c r="R2622" s="17">
        <v>40</v>
      </c>
      <c r="S2622" s="18">
        <v>2000.31</v>
      </c>
      <c r="T2622" s="19" t="s">
        <v>36</v>
      </c>
      <c r="U2622" s="20" t="s">
        <v>37</v>
      </c>
      <c r="V2622" s="21" t="s">
        <v>86</v>
      </c>
      <c r="W2622" s="22">
        <v>1</v>
      </c>
      <c r="X2622" s="23"/>
    </row>
    <row r="2623" spans="1:24" s="1" customFormat="1" ht="35.1" customHeight="1" x14ac:dyDescent="0.3">
      <c r="A2623" s="11" t="s">
        <v>23</v>
      </c>
      <c r="B2623" s="11" t="s">
        <v>2878</v>
      </c>
      <c r="C2623" s="12" t="s">
        <v>2970</v>
      </c>
      <c r="D2623" s="53"/>
      <c r="E2623" s="39" t="str">
        <f>HYPERLINK("https://www.google.ru/search?q=1356305-111&amp;newwindow=1&amp;tbm=isch","Еще фото")</f>
        <v>Еще фото</v>
      </c>
      <c r="F2623" s="13"/>
      <c r="G2623" s="11" t="s">
        <v>2788</v>
      </c>
      <c r="H2623" s="11" t="s">
        <v>27</v>
      </c>
      <c r="I2623" s="14" t="s">
        <v>2784</v>
      </c>
      <c r="J2623" s="14" t="s">
        <v>29</v>
      </c>
      <c r="K2623" s="15" t="s">
        <v>64</v>
      </c>
      <c r="L2623" s="56" t="s">
        <v>2971</v>
      </c>
      <c r="M2623" s="14" t="s">
        <v>49</v>
      </c>
      <c r="N2623" s="14" t="s">
        <v>74</v>
      </c>
      <c r="O2623" s="14"/>
      <c r="P2623" s="15" t="s">
        <v>2601</v>
      </c>
      <c r="Q2623" s="16">
        <v>2699</v>
      </c>
      <c r="R2623" s="17">
        <v>40</v>
      </c>
      <c r="S2623" s="18">
        <v>1862.31</v>
      </c>
      <c r="T2623" s="19" t="s">
        <v>36</v>
      </c>
      <c r="U2623" s="20" t="s">
        <v>69</v>
      </c>
      <c r="V2623" s="21" t="s">
        <v>70</v>
      </c>
      <c r="W2623" s="22">
        <v>10</v>
      </c>
      <c r="X2623" s="23"/>
    </row>
    <row r="2624" spans="1:24" s="1" customFormat="1" ht="35.1" customHeight="1" x14ac:dyDescent="0.3">
      <c r="A2624" s="24" t="s">
        <v>23</v>
      </c>
      <c r="B2624" s="24" t="s">
        <v>2878</v>
      </c>
      <c r="C2624" s="12" t="s">
        <v>2970</v>
      </c>
      <c r="D2624" s="54"/>
      <c r="E2624" s="39" t="str">
        <f>HYPERLINK("https://www.google.ru/search?q=1356305-111&amp;newwindow=1&amp;tbm=isch","Еще фото")</f>
        <v>Еще фото</v>
      </c>
      <c r="F2624" s="13"/>
      <c r="G2624" s="24" t="s">
        <v>2788</v>
      </c>
      <c r="H2624" s="24" t="s">
        <v>27</v>
      </c>
      <c r="I2624" s="24" t="s">
        <v>2784</v>
      </c>
      <c r="J2624" s="14" t="s">
        <v>29</v>
      </c>
      <c r="K2624" s="15" t="s">
        <v>64</v>
      </c>
      <c r="L2624" s="57"/>
      <c r="M2624" s="14" t="s">
        <v>49</v>
      </c>
      <c r="N2624" s="14" t="s">
        <v>74</v>
      </c>
      <c r="O2624" s="14"/>
      <c r="P2624" s="15" t="s">
        <v>2601</v>
      </c>
      <c r="Q2624" s="16">
        <v>2699</v>
      </c>
      <c r="R2624" s="17">
        <v>40</v>
      </c>
      <c r="S2624" s="18">
        <v>1862.31</v>
      </c>
      <c r="T2624" s="19" t="s">
        <v>36</v>
      </c>
      <c r="U2624" s="20" t="s">
        <v>37</v>
      </c>
      <c r="V2624" s="21" t="s">
        <v>86</v>
      </c>
      <c r="W2624" s="22">
        <v>12</v>
      </c>
      <c r="X2624" s="23"/>
    </row>
    <row r="2625" spans="1:24" s="1" customFormat="1" ht="36.950000000000003" customHeight="1" x14ac:dyDescent="0.3">
      <c r="A2625" s="24" t="s">
        <v>23</v>
      </c>
      <c r="B2625" s="24" t="s">
        <v>2878</v>
      </c>
      <c r="C2625" s="12" t="s">
        <v>2970</v>
      </c>
      <c r="D2625" s="55"/>
      <c r="E2625" s="39" t="str">
        <f>HYPERLINK("https://www.google.ru/search?q=1356305-111&amp;newwindow=1&amp;tbm=isch","Еще фото")</f>
        <v>Еще фото</v>
      </c>
      <c r="F2625" s="13"/>
      <c r="G2625" s="24" t="s">
        <v>2788</v>
      </c>
      <c r="H2625" s="24" t="s">
        <v>27</v>
      </c>
      <c r="I2625" s="24" t="s">
        <v>2784</v>
      </c>
      <c r="J2625" s="14" t="s">
        <v>29</v>
      </c>
      <c r="K2625" s="15" t="s">
        <v>64</v>
      </c>
      <c r="L2625" s="58"/>
      <c r="M2625" s="14" t="s">
        <v>49</v>
      </c>
      <c r="N2625" s="14" t="s">
        <v>74</v>
      </c>
      <c r="O2625" s="14"/>
      <c r="P2625" s="15" t="s">
        <v>2601</v>
      </c>
      <c r="Q2625" s="16">
        <v>2699</v>
      </c>
      <c r="R2625" s="17">
        <v>40</v>
      </c>
      <c r="S2625" s="18">
        <v>1862.31</v>
      </c>
      <c r="T2625" s="19" t="s">
        <v>36</v>
      </c>
      <c r="U2625" s="20" t="s">
        <v>39</v>
      </c>
      <c r="V2625" s="21" t="s">
        <v>38</v>
      </c>
      <c r="W2625" s="22">
        <v>10</v>
      </c>
      <c r="X2625" s="23"/>
    </row>
    <row r="2626" spans="1:24" s="1" customFormat="1" ht="108" customHeight="1" x14ac:dyDescent="0.3">
      <c r="A2626" s="11" t="s">
        <v>23</v>
      </c>
      <c r="B2626" s="11" t="s">
        <v>2968</v>
      </c>
      <c r="C2626" s="12" t="s">
        <v>2972</v>
      </c>
      <c r="D2626" s="25"/>
      <c r="E2626" s="39" t="str">
        <f>HYPERLINK("https://www.google.ru/search?q=1356305-348&amp;newwindow=1&amp;tbm=isch","Еще фото")</f>
        <v>Еще фото</v>
      </c>
      <c r="F2626" s="13"/>
      <c r="G2626" s="11" t="s">
        <v>2788</v>
      </c>
      <c r="H2626" s="11" t="s">
        <v>27</v>
      </c>
      <c r="I2626" s="14" t="s">
        <v>2784</v>
      </c>
      <c r="J2626" s="14" t="s">
        <v>47</v>
      </c>
      <c r="K2626" s="15" t="s">
        <v>64</v>
      </c>
      <c r="L2626" s="14" t="s">
        <v>2880</v>
      </c>
      <c r="M2626" s="14"/>
      <c r="N2626" s="14" t="s">
        <v>125</v>
      </c>
      <c r="O2626" s="14"/>
      <c r="P2626" s="15" t="s">
        <v>2601</v>
      </c>
      <c r="Q2626" s="16">
        <v>2899</v>
      </c>
      <c r="R2626" s="17">
        <v>40</v>
      </c>
      <c r="S2626" s="18">
        <v>2000.31</v>
      </c>
      <c r="T2626" s="19" t="s">
        <v>36</v>
      </c>
      <c r="U2626" s="20" t="s">
        <v>69</v>
      </c>
      <c r="V2626" s="21" t="s">
        <v>70</v>
      </c>
      <c r="W2626" s="22">
        <v>2</v>
      </c>
      <c r="X2626" s="23"/>
    </row>
    <row r="2627" spans="1:24" s="1" customFormat="1" ht="108" customHeight="1" x14ac:dyDescent="0.3">
      <c r="A2627" s="11" t="s">
        <v>23</v>
      </c>
      <c r="B2627" s="11" t="s">
        <v>2973</v>
      </c>
      <c r="C2627" s="12" t="s">
        <v>2974</v>
      </c>
      <c r="D2627" s="25"/>
      <c r="E2627" s="39" t="str">
        <f>HYPERLINK("https://www.google.ru/search?q=1357727-026&amp;newwindow=1&amp;tbm=isch","Еще фото")</f>
        <v>Еще фото</v>
      </c>
      <c r="F2627" s="13" t="s">
        <v>98</v>
      </c>
      <c r="G2627" s="11" t="s">
        <v>2788</v>
      </c>
      <c r="H2627" s="11" t="s">
        <v>27</v>
      </c>
      <c r="I2627" s="14" t="s">
        <v>2784</v>
      </c>
      <c r="J2627" s="14" t="s">
        <v>47</v>
      </c>
      <c r="K2627" s="15" t="s">
        <v>30</v>
      </c>
      <c r="L2627" s="14" t="s">
        <v>2975</v>
      </c>
      <c r="M2627" s="14"/>
      <c r="N2627" s="14" t="s">
        <v>84</v>
      </c>
      <c r="O2627" s="14"/>
      <c r="P2627" s="15" t="s">
        <v>2856</v>
      </c>
      <c r="Q2627" s="16">
        <v>3099</v>
      </c>
      <c r="R2627" s="17">
        <v>40</v>
      </c>
      <c r="S2627" s="18">
        <v>2138.31</v>
      </c>
      <c r="T2627" s="19" t="s">
        <v>36</v>
      </c>
      <c r="U2627" s="20" t="s">
        <v>69</v>
      </c>
      <c r="V2627" s="21" t="s">
        <v>75</v>
      </c>
      <c r="W2627" s="22">
        <v>2</v>
      </c>
      <c r="X2627" s="23"/>
    </row>
    <row r="2628" spans="1:24" s="1" customFormat="1" ht="108" customHeight="1" x14ac:dyDescent="0.3">
      <c r="A2628" s="11" t="s">
        <v>23</v>
      </c>
      <c r="B2628" s="11" t="s">
        <v>2976</v>
      </c>
      <c r="C2628" s="12" t="s">
        <v>2977</v>
      </c>
      <c r="D2628" s="25"/>
      <c r="E2628" s="39" t="str">
        <f>HYPERLINK("https://www.google.ru/search?q=1361034-001&amp;newwindow=1&amp;tbm=isch","Еще фото")</f>
        <v>Еще фото</v>
      </c>
      <c r="F2628" s="13" t="s">
        <v>98</v>
      </c>
      <c r="G2628" s="11" t="s">
        <v>2809</v>
      </c>
      <c r="H2628" s="11" t="s">
        <v>27</v>
      </c>
      <c r="I2628" s="14" t="s">
        <v>2784</v>
      </c>
      <c r="J2628" s="14" t="s">
        <v>29</v>
      </c>
      <c r="K2628" s="15" t="s">
        <v>64</v>
      </c>
      <c r="L2628" s="14" t="s">
        <v>2882</v>
      </c>
      <c r="M2628" s="14" t="s">
        <v>66</v>
      </c>
      <c r="N2628" s="14" t="s">
        <v>33</v>
      </c>
      <c r="O2628" s="14" t="s">
        <v>34</v>
      </c>
      <c r="P2628" s="15" t="s">
        <v>100</v>
      </c>
      <c r="Q2628" s="16">
        <v>3899</v>
      </c>
      <c r="R2628" s="17">
        <v>40</v>
      </c>
      <c r="S2628" s="18">
        <v>2690.31</v>
      </c>
      <c r="T2628" s="19" t="s">
        <v>36</v>
      </c>
      <c r="U2628" s="20" t="s">
        <v>69</v>
      </c>
      <c r="V2628" s="21" t="s">
        <v>70</v>
      </c>
      <c r="W2628" s="22">
        <v>24</v>
      </c>
      <c r="X2628" s="23"/>
    </row>
    <row r="2629" spans="1:24" s="1" customFormat="1" ht="35.1" customHeight="1" x14ac:dyDescent="0.3">
      <c r="A2629" s="11" t="s">
        <v>23</v>
      </c>
      <c r="B2629" s="11" t="s">
        <v>2842</v>
      </c>
      <c r="C2629" s="12" t="s">
        <v>2978</v>
      </c>
      <c r="D2629" s="53"/>
      <c r="E2629" s="39" t="str">
        <f>HYPERLINK("https://www.google.ru/search?q=1361034-007&amp;newwindow=1&amp;tbm=isch","Еще фото")</f>
        <v>Еще фото</v>
      </c>
      <c r="F2629" s="13" t="s">
        <v>98</v>
      </c>
      <c r="G2629" s="11" t="s">
        <v>2809</v>
      </c>
      <c r="H2629" s="11" t="s">
        <v>27</v>
      </c>
      <c r="I2629" s="14" t="s">
        <v>2784</v>
      </c>
      <c r="J2629" s="14" t="s">
        <v>29</v>
      </c>
      <c r="K2629" s="15" t="s">
        <v>64</v>
      </c>
      <c r="L2629" s="56" t="s">
        <v>2979</v>
      </c>
      <c r="M2629" s="14"/>
      <c r="N2629" s="14" t="s">
        <v>33</v>
      </c>
      <c r="O2629" s="14"/>
      <c r="P2629" s="15" t="s">
        <v>100</v>
      </c>
      <c r="Q2629" s="16">
        <v>4199</v>
      </c>
      <c r="R2629" s="17">
        <v>40</v>
      </c>
      <c r="S2629" s="18">
        <v>2897.31</v>
      </c>
      <c r="T2629" s="19" t="s">
        <v>36</v>
      </c>
      <c r="U2629" s="20" t="s">
        <v>69</v>
      </c>
      <c r="V2629" s="21" t="s">
        <v>70</v>
      </c>
      <c r="W2629" s="22">
        <v>3</v>
      </c>
      <c r="X2629" s="23"/>
    </row>
    <row r="2630" spans="1:24" s="1" customFormat="1" ht="35.1" customHeight="1" x14ac:dyDescent="0.3">
      <c r="A2630" s="24" t="s">
        <v>23</v>
      </c>
      <c r="B2630" s="24" t="s">
        <v>2842</v>
      </c>
      <c r="C2630" s="12" t="s">
        <v>2978</v>
      </c>
      <c r="D2630" s="54"/>
      <c r="E2630" s="39" t="str">
        <f>HYPERLINK("https://www.google.ru/search?q=1361034-007&amp;newwindow=1&amp;tbm=isch","Еще фото")</f>
        <v>Еще фото</v>
      </c>
      <c r="F2630" s="13" t="s">
        <v>98</v>
      </c>
      <c r="G2630" s="24" t="s">
        <v>2809</v>
      </c>
      <c r="H2630" s="24" t="s">
        <v>27</v>
      </c>
      <c r="I2630" s="24" t="s">
        <v>2784</v>
      </c>
      <c r="J2630" s="14" t="s">
        <v>29</v>
      </c>
      <c r="K2630" s="15" t="s">
        <v>64</v>
      </c>
      <c r="L2630" s="57"/>
      <c r="M2630" s="14"/>
      <c r="N2630" s="14" t="s">
        <v>33</v>
      </c>
      <c r="O2630" s="14"/>
      <c r="P2630" s="15" t="s">
        <v>100</v>
      </c>
      <c r="Q2630" s="16">
        <v>4199</v>
      </c>
      <c r="R2630" s="17">
        <v>40</v>
      </c>
      <c r="S2630" s="18">
        <v>2897.31</v>
      </c>
      <c r="T2630" s="19" t="s">
        <v>36</v>
      </c>
      <c r="U2630" s="20" t="s">
        <v>37</v>
      </c>
      <c r="V2630" s="21" t="s">
        <v>86</v>
      </c>
      <c r="W2630" s="22">
        <v>1</v>
      </c>
      <c r="X2630" s="23"/>
    </row>
    <row r="2631" spans="1:24" s="1" customFormat="1" ht="36.950000000000003" customHeight="1" x14ac:dyDescent="0.3">
      <c r="A2631" s="24" t="s">
        <v>23</v>
      </c>
      <c r="B2631" s="24" t="s">
        <v>2842</v>
      </c>
      <c r="C2631" s="12" t="s">
        <v>2978</v>
      </c>
      <c r="D2631" s="55"/>
      <c r="E2631" s="39" t="str">
        <f>HYPERLINK("https://www.google.ru/search?q=1361034-007&amp;newwindow=1&amp;tbm=isch","Еще фото")</f>
        <v>Еще фото</v>
      </c>
      <c r="F2631" s="13" t="s">
        <v>98</v>
      </c>
      <c r="G2631" s="24" t="s">
        <v>2809</v>
      </c>
      <c r="H2631" s="24" t="s">
        <v>27</v>
      </c>
      <c r="I2631" s="24" t="s">
        <v>2784</v>
      </c>
      <c r="J2631" s="14" t="s">
        <v>29</v>
      </c>
      <c r="K2631" s="15" t="s">
        <v>64</v>
      </c>
      <c r="L2631" s="58"/>
      <c r="M2631" s="14"/>
      <c r="N2631" s="14" t="s">
        <v>33</v>
      </c>
      <c r="O2631" s="14"/>
      <c r="P2631" s="15" t="s">
        <v>100</v>
      </c>
      <c r="Q2631" s="16">
        <v>4199</v>
      </c>
      <c r="R2631" s="17">
        <v>40</v>
      </c>
      <c r="S2631" s="18">
        <v>2897.31</v>
      </c>
      <c r="T2631" s="19" t="s">
        <v>36</v>
      </c>
      <c r="U2631" s="20" t="s">
        <v>39</v>
      </c>
      <c r="V2631" s="21" t="s">
        <v>38</v>
      </c>
      <c r="W2631" s="22">
        <v>1</v>
      </c>
      <c r="X2631" s="23"/>
    </row>
    <row r="2632" spans="1:24" s="1" customFormat="1" ht="108" customHeight="1" x14ac:dyDescent="0.3">
      <c r="A2632" s="11" t="s">
        <v>23</v>
      </c>
      <c r="B2632" s="11" t="s">
        <v>2842</v>
      </c>
      <c r="C2632" s="12" t="s">
        <v>2980</v>
      </c>
      <c r="D2632" s="25"/>
      <c r="E2632" s="39" t="str">
        <f>HYPERLINK("https://www.google.ru/search?q=1361034-338&amp;newwindow=1&amp;tbm=isch","Еще фото")</f>
        <v>Еще фото</v>
      </c>
      <c r="F2632" s="13"/>
      <c r="G2632" s="11" t="s">
        <v>2809</v>
      </c>
      <c r="H2632" s="11" t="s">
        <v>27</v>
      </c>
      <c r="I2632" s="14" t="s">
        <v>2784</v>
      </c>
      <c r="J2632" s="14" t="s">
        <v>29</v>
      </c>
      <c r="K2632" s="15" t="s">
        <v>64</v>
      </c>
      <c r="L2632" s="14" t="s">
        <v>2979</v>
      </c>
      <c r="M2632" s="14"/>
      <c r="N2632" s="14" t="s">
        <v>125</v>
      </c>
      <c r="O2632" s="14"/>
      <c r="P2632" s="15" t="s">
        <v>2533</v>
      </c>
      <c r="Q2632" s="16">
        <v>3899</v>
      </c>
      <c r="R2632" s="17">
        <v>40</v>
      </c>
      <c r="S2632" s="18">
        <v>2690.31</v>
      </c>
      <c r="T2632" s="19" t="s">
        <v>36</v>
      </c>
      <c r="U2632" s="20" t="s">
        <v>69</v>
      </c>
      <c r="V2632" s="21" t="s">
        <v>70</v>
      </c>
      <c r="W2632" s="22">
        <v>1</v>
      </c>
      <c r="X2632" s="23"/>
    </row>
    <row r="2633" spans="1:24" s="1" customFormat="1" ht="108" customHeight="1" x14ac:dyDescent="0.3">
      <c r="A2633" s="11" t="s">
        <v>23</v>
      </c>
      <c r="B2633" s="11" t="s">
        <v>2842</v>
      </c>
      <c r="C2633" s="12" t="s">
        <v>2981</v>
      </c>
      <c r="D2633" s="25"/>
      <c r="E2633" s="39" t="str">
        <f>HYPERLINK("https://www.google.ru/search?q=1361034-402&amp;newwindow=1&amp;tbm=isch","Еще фото")</f>
        <v>Еще фото</v>
      </c>
      <c r="F2633" s="13"/>
      <c r="G2633" s="11" t="s">
        <v>2809</v>
      </c>
      <c r="H2633" s="11" t="s">
        <v>27</v>
      </c>
      <c r="I2633" s="14" t="s">
        <v>2784</v>
      </c>
      <c r="J2633" s="14" t="s">
        <v>29</v>
      </c>
      <c r="K2633" s="15" t="s">
        <v>64</v>
      </c>
      <c r="L2633" s="14" t="s">
        <v>2930</v>
      </c>
      <c r="M2633" s="14"/>
      <c r="N2633" s="14" t="s">
        <v>91</v>
      </c>
      <c r="O2633" s="14"/>
      <c r="P2633" s="15" t="s">
        <v>100</v>
      </c>
      <c r="Q2633" s="16">
        <v>4199</v>
      </c>
      <c r="R2633" s="17">
        <v>40</v>
      </c>
      <c r="S2633" s="18">
        <v>2897.31</v>
      </c>
      <c r="T2633" s="19" t="s">
        <v>36</v>
      </c>
      <c r="U2633" s="20" t="s">
        <v>69</v>
      </c>
      <c r="V2633" s="21" t="s">
        <v>70</v>
      </c>
      <c r="W2633" s="22">
        <v>10</v>
      </c>
      <c r="X2633" s="23"/>
    </row>
    <row r="2634" spans="1:24" s="1" customFormat="1" ht="35.1" customHeight="1" x14ac:dyDescent="0.3">
      <c r="A2634" s="11" t="s">
        <v>23</v>
      </c>
      <c r="B2634" s="11" t="s">
        <v>2842</v>
      </c>
      <c r="C2634" s="12" t="s">
        <v>2982</v>
      </c>
      <c r="D2634" s="53"/>
      <c r="E2634" s="39" t="str">
        <f>HYPERLINK("https://www.google.ru/search?q=1361034-520&amp;newwindow=1&amp;tbm=isch","Еще фото")</f>
        <v>Еще фото</v>
      </c>
      <c r="F2634" s="13"/>
      <c r="G2634" s="11" t="s">
        <v>2809</v>
      </c>
      <c r="H2634" s="11" t="s">
        <v>27</v>
      </c>
      <c r="I2634" s="14" t="s">
        <v>2784</v>
      </c>
      <c r="J2634" s="14" t="s">
        <v>29</v>
      </c>
      <c r="K2634" s="15" t="s">
        <v>64</v>
      </c>
      <c r="L2634" s="56" t="s">
        <v>2851</v>
      </c>
      <c r="M2634" s="14"/>
      <c r="N2634" s="14" t="s">
        <v>67</v>
      </c>
      <c r="O2634" s="14"/>
      <c r="P2634" s="15" t="s">
        <v>2533</v>
      </c>
      <c r="Q2634" s="16">
        <v>3899</v>
      </c>
      <c r="R2634" s="17">
        <v>40</v>
      </c>
      <c r="S2634" s="18">
        <v>2690.31</v>
      </c>
      <c r="T2634" s="19" t="s">
        <v>36</v>
      </c>
      <c r="U2634" s="20" t="s">
        <v>69</v>
      </c>
      <c r="V2634" s="21" t="s">
        <v>70</v>
      </c>
      <c r="W2634" s="22">
        <v>11</v>
      </c>
      <c r="X2634" s="23"/>
    </row>
    <row r="2635" spans="1:24" s="1" customFormat="1" ht="35.1" customHeight="1" x14ac:dyDescent="0.3">
      <c r="A2635" s="24" t="s">
        <v>23</v>
      </c>
      <c r="B2635" s="24" t="s">
        <v>2842</v>
      </c>
      <c r="C2635" s="12" t="s">
        <v>2982</v>
      </c>
      <c r="D2635" s="54"/>
      <c r="E2635" s="39" t="str">
        <f>HYPERLINK("https://www.google.ru/search?q=1361034-520&amp;newwindow=1&amp;tbm=isch","Еще фото")</f>
        <v>Еще фото</v>
      </c>
      <c r="F2635" s="13"/>
      <c r="G2635" s="24" t="s">
        <v>2809</v>
      </c>
      <c r="H2635" s="24" t="s">
        <v>27</v>
      </c>
      <c r="I2635" s="24" t="s">
        <v>2784</v>
      </c>
      <c r="J2635" s="14" t="s">
        <v>29</v>
      </c>
      <c r="K2635" s="15" t="s">
        <v>64</v>
      </c>
      <c r="L2635" s="57"/>
      <c r="M2635" s="14"/>
      <c r="N2635" s="14" t="s">
        <v>67</v>
      </c>
      <c r="O2635" s="14"/>
      <c r="P2635" s="15" t="s">
        <v>2533</v>
      </c>
      <c r="Q2635" s="16">
        <v>3899</v>
      </c>
      <c r="R2635" s="17">
        <v>40</v>
      </c>
      <c r="S2635" s="18">
        <v>2690.31</v>
      </c>
      <c r="T2635" s="19" t="s">
        <v>36</v>
      </c>
      <c r="U2635" s="20" t="s">
        <v>39</v>
      </c>
      <c r="V2635" s="21" t="s">
        <v>38</v>
      </c>
      <c r="W2635" s="22">
        <v>2</v>
      </c>
      <c r="X2635" s="23"/>
    </row>
    <row r="2636" spans="1:24" s="1" customFormat="1" ht="36.950000000000003" customHeight="1" x14ac:dyDescent="0.3">
      <c r="A2636" s="24" t="s">
        <v>23</v>
      </c>
      <c r="B2636" s="24" t="s">
        <v>2842</v>
      </c>
      <c r="C2636" s="12" t="s">
        <v>2982</v>
      </c>
      <c r="D2636" s="55"/>
      <c r="E2636" s="39" t="str">
        <f>HYPERLINK("https://www.google.ru/search?q=1361034-520&amp;newwindow=1&amp;tbm=isch","Еще фото")</f>
        <v>Еще фото</v>
      </c>
      <c r="F2636" s="13"/>
      <c r="G2636" s="24" t="s">
        <v>2809</v>
      </c>
      <c r="H2636" s="24" t="s">
        <v>27</v>
      </c>
      <c r="I2636" s="24" t="s">
        <v>2784</v>
      </c>
      <c r="J2636" s="14" t="s">
        <v>29</v>
      </c>
      <c r="K2636" s="15" t="s">
        <v>64</v>
      </c>
      <c r="L2636" s="58"/>
      <c r="M2636" s="14"/>
      <c r="N2636" s="14" t="s">
        <v>67</v>
      </c>
      <c r="O2636" s="14"/>
      <c r="P2636" s="15" t="s">
        <v>2533</v>
      </c>
      <c r="Q2636" s="16">
        <v>3899</v>
      </c>
      <c r="R2636" s="17">
        <v>40</v>
      </c>
      <c r="S2636" s="18">
        <v>2690.31</v>
      </c>
      <c r="T2636" s="19" t="s">
        <v>36</v>
      </c>
      <c r="U2636" s="20" t="s">
        <v>41</v>
      </c>
      <c r="V2636" s="21" t="s">
        <v>40</v>
      </c>
      <c r="W2636" s="22">
        <v>1</v>
      </c>
      <c r="X2636" s="23"/>
    </row>
    <row r="2637" spans="1:24" s="1" customFormat="1" ht="51.95" customHeight="1" x14ac:dyDescent="0.3">
      <c r="A2637" s="11" t="s">
        <v>23</v>
      </c>
      <c r="B2637" s="11" t="s">
        <v>2842</v>
      </c>
      <c r="C2637" s="12" t="s">
        <v>2983</v>
      </c>
      <c r="D2637" s="59"/>
      <c r="E2637" s="39" t="str">
        <f>HYPERLINK("https://www.google.ru/search?q=1361034-690&amp;newwindow=1&amp;tbm=isch","Еще фото")</f>
        <v>Еще фото</v>
      </c>
      <c r="F2637" s="13"/>
      <c r="G2637" s="11" t="s">
        <v>2809</v>
      </c>
      <c r="H2637" s="11" t="s">
        <v>27</v>
      </c>
      <c r="I2637" s="14" t="s">
        <v>2784</v>
      </c>
      <c r="J2637" s="14" t="s">
        <v>29</v>
      </c>
      <c r="K2637" s="15" t="s">
        <v>64</v>
      </c>
      <c r="L2637" s="56" t="s">
        <v>2882</v>
      </c>
      <c r="M2637" s="14"/>
      <c r="N2637" s="14" t="s">
        <v>140</v>
      </c>
      <c r="O2637" s="14"/>
      <c r="P2637" s="15" t="s">
        <v>2533</v>
      </c>
      <c r="Q2637" s="16">
        <v>3899</v>
      </c>
      <c r="R2637" s="17">
        <v>40</v>
      </c>
      <c r="S2637" s="18">
        <v>2690.31</v>
      </c>
      <c r="T2637" s="19" t="s">
        <v>36</v>
      </c>
      <c r="U2637" s="20" t="s">
        <v>69</v>
      </c>
      <c r="V2637" s="21" t="s">
        <v>70</v>
      </c>
      <c r="W2637" s="22">
        <v>7</v>
      </c>
      <c r="X2637" s="23"/>
    </row>
    <row r="2638" spans="1:24" s="1" customFormat="1" ht="60.95" customHeight="1" x14ac:dyDescent="0.3">
      <c r="A2638" s="24" t="s">
        <v>23</v>
      </c>
      <c r="B2638" s="24" t="s">
        <v>2842</v>
      </c>
      <c r="C2638" s="12" t="s">
        <v>2983</v>
      </c>
      <c r="D2638" s="60"/>
      <c r="E2638" s="39" t="str">
        <f>HYPERLINK("https://www.google.ru/search?q=1361034-690&amp;newwindow=1&amp;tbm=isch","Еще фото")</f>
        <v>Еще фото</v>
      </c>
      <c r="F2638" s="13"/>
      <c r="G2638" s="24" t="s">
        <v>2809</v>
      </c>
      <c r="H2638" s="24" t="s">
        <v>27</v>
      </c>
      <c r="I2638" s="24" t="s">
        <v>2784</v>
      </c>
      <c r="J2638" s="14" t="s">
        <v>29</v>
      </c>
      <c r="K2638" s="15" t="s">
        <v>64</v>
      </c>
      <c r="L2638" s="58"/>
      <c r="M2638" s="14"/>
      <c r="N2638" s="14" t="s">
        <v>140</v>
      </c>
      <c r="O2638" s="14"/>
      <c r="P2638" s="15" t="s">
        <v>2533</v>
      </c>
      <c r="Q2638" s="16">
        <v>3899</v>
      </c>
      <c r="R2638" s="17">
        <v>40</v>
      </c>
      <c r="S2638" s="18">
        <v>2690.31</v>
      </c>
      <c r="T2638" s="19" t="s">
        <v>36</v>
      </c>
      <c r="U2638" s="20" t="s">
        <v>41</v>
      </c>
      <c r="V2638" s="21" t="s">
        <v>40</v>
      </c>
      <c r="W2638" s="22">
        <v>2</v>
      </c>
      <c r="X2638" s="23"/>
    </row>
    <row r="2639" spans="1:24" s="1" customFormat="1" ht="108" customHeight="1" x14ac:dyDescent="0.3">
      <c r="A2639" s="11" t="s">
        <v>23</v>
      </c>
      <c r="B2639" s="11" t="s">
        <v>2984</v>
      </c>
      <c r="C2639" s="12" t="s">
        <v>2985</v>
      </c>
      <c r="D2639" s="25"/>
      <c r="E2639" s="39" t="str">
        <f>HYPERLINK("https://www.google.ru/search?q=1361777-014&amp;newwindow=1&amp;tbm=isch","Еще фото")</f>
        <v>Еще фото</v>
      </c>
      <c r="F2639" s="13"/>
      <c r="G2639" s="11" t="s">
        <v>2788</v>
      </c>
      <c r="H2639" s="11" t="s">
        <v>27</v>
      </c>
      <c r="I2639" s="14" t="s">
        <v>2784</v>
      </c>
      <c r="J2639" s="14" t="s">
        <v>47</v>
      </c>
      <c r="K2639" s="15" t="s">
        <v>54</v>
      </c>
      <c r="L2639" s="14" t="s">
        <v>2986</v>
      </c>
      <c r="M2639" s="14" t="s">
        <v>49</v>
      </c>
      <c r="N2639" s="14" t="s">
        <v>84</v>
      </c>
      <c r="O2639" s="14" t="s">
        <v>34</v>
      </c>
      <c r="P2639" s="15" t="s">
        <v>2401</v>
      </c>
      <c r="Q2639" s="16">
        <v>3490</v>
      </c>
      <c r="R2639" s="17">
        <v>40</v>
      </c>
      <c r="S2639" s="18">
        <v>2408.1</v>
      </c>
      <c r="T2639" s="19" t="s">
        <v>36</v>
      </c>
      <c r="U2639" s="20" t="s">
        <v>126</v>
      </c>
      <c r="V2639" s="21" t="s">
        <v>127</v>
      </c>
      <c r="W2639" s="22">
        <v>1</v>
      </c>
      <c r="X2639" s="23"/>
    </row>
    <row r="2640" spans="1:24" s="1" customFormat="1" ht="51.95" customHeight="1" x14ac:dyDescent="0.3">
      <c r="A2640" s="11" t="s">
        <v>23</v>
      </c>
      <c r="B2640" s="11" t="s">
        <v>2987</v>
      </c>
      <c r="C2640" s="12" t="s">
        <v>2988</v>
      </c>
      <c r="D2640" s="59"/>
      <c r="E2640" s="39" t="str">
        <f>HYPERLINK("https://www.google.ru/search?q=1363283-001&amp;newwindow=1&amp;tbm=isch","Еще фото")</f>
        <v>Еще фото</v>
      </c>
      <c r="F2640" s="13"/>
      <c r="G2640" s="11" t="s">
        <v>2788</v>
      </c>
      <c r="H2640" s="11" t="s">
        <v>27</v>
      </c>
      <c r="I2640" s="14" t="s">
        <v>2784</v>
      </c>
      <c r="J2640" s="14" t="s">
        <v>29</v>
      </c>
      <c r="K2640" s="15" t="s">
        <v>54</v>
      </c>
      <c r="L2640" s="56" t="s">
        <v>2989</v>
      </c>
      <c r="M2640" s="14" t="s">
        <v>2434</v>
      </c>
      <c r="N2640" s="14" t="s">
        <v>33</v>
      </c>
      <c r="O2640" s="14"/>
      <c r="P2640" s="15" t="s">
        <v>133</v>
      </c>
      <c r="Q2640" s="16">
        <v>2399</v>
      </c>
      <c r="R2640" s="17">
        <v>40</v>
      </c>
      <c r="S2640" s="18">
        <v>1655.31</v>
      </c>
      <c r="T2640" s="19" t="s">
        <v>36</v>
      </c>
      <c r="U2640" s="20" t="s">
        <v>114</v>
      </c>
      <c r="V2640" s="21" t="s">
        <v>115</v>
      </c>
      <c r="W2640" s="22">
        <v>3</v>
      </c>
      <c r="X2640" s="23"/>
    </row>
    <row r="2641" spans="1:24" s="1" customFormat="1" ht="60.95" customHeight="1" x14ac:dyDescent="0.3">
      <c r="A2641" s="24" t="s">
        <v>23</v>
      </c>
      <c r="B2641" s="24" t="s">
        <v>2987</v>
      </c>
      <c r="C2641" s="12" t="s">
        <v>2988</v>
      </c>
      <c r="D2641" s="60"/>
      <c r="E2641" s="39" t="str">
        <f>HYPERLINK("https://www.google.ru/search?q=1363283-001&amp;newwindow=1&amp;tbm=isch","Еще фото")</f>
        <v>Еще фото</v>
      </c>
      <c r="F2641" s="13"/>
      <c r="G2641" s="24" t="s">
        <v>2788</v>
      </c>
      <c r="H2641" s="24" t="s">
        <v>27</v>
      </c>
      <c r="I2641" s="24" t="s">
        <v>2784</v>
      </c>
      <c r="J2641" s="14" t="s">
        <v>29</v>
      </c>
      <c r="K2641" s="15" t="s">
        <v>54</v>
      </c>
      <c r="L2641" s="58"/>
      <c r="M2641" s="14" t="s">
        <v>2434</v>
      </c>
      <c r="N2641" s="14" t="s">
        <v>33</v>
      </c>
      <c r="O2641" s="14"/>
      <c r="P2641" s="15" t="s">
        <v>133</v>
      </c>
      <c r="Q2641" s="16">
        <v>2399</v>
      </c>
      <c r="R2641" s="17">
        <v>40</v>
      </c>
      <c r="S2641" s="18">
        <v>1655.31</v>
      </c>
      <c r="T2641" s="19" t="s">
        <v>36</v>
      </c>
      <c r="U2641" s="20" t="s">
        <v>126</v>
      </c>
      <c r="V2641" s="21" t="s">
        <v>127</v>
      </c>
      <c r="W2641" s="22">
        <v>7</v>
      </c>
      <c r="X2641" s="23"/>
    </row>
    <row r="2642" spans="1:24" s="1" customFormat="1" ht="35.1" customHeight="1" x14ac:dyDescent="0.3">
      <c r="A2642" s="11" t="s">
        <v>23</v>
      </c>
      <c r="B2642" s="11" t="s">
        <v>2987</v>
      </c>
      <c r="C2642" s="12" t="s">
        <v>2990</v>
      </c>
      <c r="D2642" s="53"/>
      <c r="E2642" s="39" t="str">
        <f>HYPERLINK("https://www.google.ru/search?q=1363283-011&amp;newwindow=1&amp;tbm=isch","Еще фото")</f>
        <v>Еще фото</v>
      </c>
      <c r="F2642" s="13"/>
      <c r="G2642" s="11" t="s">
        <v>2788</v>
      </c>
      <c r="H2642" s="11" t="s">
        <v>27</v>
      </c>
      <c r="I2642" s="14" t="s">
        <v>2784</v>
      </c>
      <c r="J2642" s="14" t="s">
        <v>29</v>
      </c>
      <c r="K2642" s="15" t="s">
        <v>54</v>
      </c>
      <c r="L2642" s="56" t="s">
        <v>2989</v>
      </c>
      <c r="M2642" s="14" t="s">
        <v>2434</v>
      </c>
      <c r="N2642" s="14" t="s">
        <v>84</v>
      </c>
      <c r="O2642" s="14" t="s">
        <v>34</v>
      </c>
      <c r="P2642" s="15" t="s">
        <v>133</v>
      </c>
      <c r="Q2642" s="16">
        <v>2399</v>
      </c>
      <c r="R2642" s="17">
        <v>40</v>
      </c>
      <c r="S2642" s="18">
        <v>1655.31</v>
      </c>
      <c r="T2642" s="19" t="s">
        <v>36</v>
      </c>
      <c r="U2642" s="20" t="s">
        <v>114</v>
      </c>
      <c r="V2642" s="21" t="s">
        <v>115</v>
      </c>
      <c r="W2642" s="22">
        <v>4</v>
      </c>
      <c r="X2642" s="23"/>
    </row>
    <row r="2643" spans="1:24" s="1" customFormat="1" ht="35.1" customHeight="1" x14ac:dyDescent="0.3">
      <c r="A2643" s="24" t="s">
        <v>23</v>
      </c>
      <c r="B2643" s="24" t="s">
        <v>2987</v>
      </c>
      <c r="C2643" s="12" t="s">
        <v>2990</v>
      </c>
      <c r="D2643" s="54"/>
      <c r="E2643" s="39" t="str">
        <f>HYPERLINK("https://www.google.ru/search?q=1363283-011&amp;newwindow=1&amp;tbm=isch","Еще фото")</f>
        <v>Еще фото</v>
      </c>
      <c r="F2643" s="13"/>
      <c r="G2643" s="24" t="s">
        <v>2788</v>
      </c>
      <c r="H2643" s="24" t="s">
        <v>27</v>
      </c>
      <c r="I2643" s="24" t="s">
        <v>2784</v>
      </c>
      <c r="J2643" s="14" t="s">
        <v>29</v>
      </c>
      <c r="K2643" s="15" t="s">
        <v>54</v>
      </c>
      <c r="L2643" s="57"/>
      <c r="M2643" s="14" t="s">
        <v>2434</v>
      </c>
      <c r="N2643" s="14" t="s">
        <v>84</v>
      </c>
      <c r="O2643" s="14" t="s">
        <v>34</v>
      </c>
      <c r="P2643" s="15" t="s">
        <v>133</v>
      </c>
      <c r="Q2643" s="16">
        <v>2399</v>
      </c>
      <c r="R2643" s="17">
        <v>40</v>
      </c>
      <c r="S2643" s="18">
        <v>1655.31</v>
      </c>
      <c r="T2643" s="19" t="s">
        <v>36</v>
      </c>
      <c r="U2643" s="20" t="s">
        <v>126</v>
      </c>
      <c r="V2643" s="21" t="s">
        <v>127</v>
      </c>
      <c r="W2643" s="22">
        <v>4</v>
      </c>
      <c r="X2643" s="23"/>
    </row>
    <row r="2644" spans="1:24" s="1" customFormat="1" ht="36.950000000000003" customHeight="1" x14ac:dyDescent="0.3">
      <c r="A2644" s="24" t="s">
        <v>23</v>
      </c>
      <c r="B2644" s="24" t="s">
        <v>2987</v>
      </c>
      <c r="C2644" s="12" t="s">
        <v>2990</v>
      </c>
      <c r="D2644" s="55"/>
      <c r="E2644" s="39" t="str">
        <f>HYPERLINK("https://www.google.ru/search?q=1363283-011&amp;newwindow=1&amp;tbm=isch","Еще фото")</f>
        <v>Еще фото</v>
      </c>
      <c r="F2644" s="13"/>
      <c r="G2644" s="24" t="s">
        <v>2788</v>
      </c>
      <c r="H2644" s="24" t="s">
        <v>27</v>
      </c>
      <c r="I2644" s="24" t="s">
        <v>2784</v>
      </c>
      <c r="J2644" s="14" t="s">
        <v>29</v>
      </c>
      <c r="K2644" s="15" t="s">
        <v>54</v>
      </c>
      <c r="L2644" s="58"/>
      <c r="M2644" s="14" t="s">
        <v>2434</v>
      </c>
      <c r="N2644" s="14" t="s">
        <v>84</v>
      </c>
      <c r="O2644" s="14" t="s">
        <v>34</v>
      </c>
      <c r="P2644" s="15" t="s">
        <v>133</v>
      </c>
      <c r="Q2644" s="16">
        <v>2399</v>
      </c>
      <c r="R2644" s="17">
        <v>40</v>
      </c>
      <c r="S2644" s="18">
        <v>1655.31</v>
      </c>
      <c r="T2644" s="19" t="s">
        <v>36</v>
      </c>
      <c r="U2644" s="20" t="s">
        <v>59</v>
      </c>
      <c r="V2644" s="21" t="s">
        <v>60</v>
      </c>
      <c r="W2644" s="22">
        <v>4</v>
      </c>
      <c r="X2644" s="23"/>
    </row>
    <row r="2645" spans="1:24" s="1" customFormat="1" ht="108" customHeight="1" x14ac:dyDescent="0.3">
      <c r="A2645" s="11" t="s">
        <v>23</v>
      </c>
      <c r="B2645" s="11" t="s">
        <v>2987</v>
      </c>
      <c r="C2645" s="12" t="s">
        <v>2991</v>
      </c>
      <c r="D2645" s="25"/>
      <c r="E2645" s="39" t="str">
        <f>HYPERLINK("https://www.google.ru/search?q=1363283-498&amp;newwindow=1&amp;tbm=isch","Еще фото")</f>
        <v>Еще фото</v>
      </c>
      <c r="F2645" s="13"/>
      <c r="G2645" s="11" t="s">
        <v>2788</v>
      </c>
      <c r="H2645" s="11" t="s">
        <v>27</v>
      </c>
      <c r="I2645" s="14" t="s">
        <v>2784</v>
      </c>
      <c r="J2645" s="14" t="s">
        <v>29</v>
      </c>
      <c r="K2645" s="15" t="s">
        <v>54</v>
      </c>
      <c r="L2645" s="14" t="s">
        <v>2989</v>
      </c>
      <c r="M2645" s="14"/>
      <c r="N2645" s="14" t="s">
        <v>91</v>
      </c>
      <c r="O2645" s="14"/>
      <c r="P2645" s="15" t="s">
        <v>51</v>
      </c>
      <c r="Q2645" s="16">
        <v>2399</v>
      </c>
      <c r="R2645" s="17">
        <v>40</v>
      </c>
      <c r="S2645" s="18">
        <v>1655.31</v>
      </c>
      <c r="T2645" s="19" t="s">
        <v>36</v>
      </c>
      <c r="U2645" s="20" t="s">
        <v>126</v>
      </c>
      <c r="V2645" s="21" t="s">
        <v>127</v>
      </c>
      <c r="W2645" s="22">
        <v>4</v>
      </c>
      <c r="X2645" s="23"/>
    </row>
    <row r="2646" spans="1:24" s="1" customFormat="1" ht="21" customHeight="1" x14ac:dyDescent="0.3">
      <c r="A2646" s="11" t="s">
        <v>23</v>
      </c>
      <c r="B2646" s="11" t="s">
        <v>2992</v>
      </c>
      <c r="C2646" s="26" t="s">
        <v>2993</v>
      </c>
      <c r="D2646" s="53"/>
      <c r="E2646" s="39" t="str">
        <f>HYPERLINK("https://www.google.ru/search?q=1363284-001&amp;newwindow=1&amp;tbm=isch","Еще фото")</f>
        <v>Еще фото</v>
      </c>
      <c r="F2646" s="13"/>
      <c r="G2646" s="11" t="s">
        <v>2788</v>
      </c>
      <c r="H2646" s="11" t="s">
        <v>27</v>
      </c>
      <c r="I2646" s="14" t="s">
        <v>2784</v>
      </c>
      <c r="J2646" s="14" t="s">
        <v>29</v>
      </c>
      <c r="K2646" s="15" t="s">
        <v>54</v>
      </c>
      <c r="L2646" s="56" t="s">
        <v>2994</v>
      </c>
      <c r="M2646" s="14" t="s">
        <v>2434</v>
      </c>
      <c r="N2646" s="14" t="s">
        <v>33</v>
      </c>
      <c r="O2646" s="14" t="s">
        <v>34</v>
      </c>
      <c r="P2646" s="15" t="s">
        <v>133</v>
      </c>
      <c r="Q2646" s="16">
        <v>2499</v>
      </c>
      <c r="R2646" s="17">
        <v>40</v>
      </c>
      <c r="S2646" s="18">
        <v>1724.31</v>
      </c>
      <c r="T2646" s="19" t="s">
        <v>36</v>
      </c>
      <c r="U2646" s="20" t="s">
        <v>114</v>
      </c>
      <c r="V2646" s="21" t="s">
        <v>115</v>
      </c>
      <c r="W2646" s="22">
        <v>6</v>
      </c>
      <c r="X2646" s="23"/>
    </row>
    <row r="2647" spans="1:24" s="1" customFormat="1" ht="21" customHeight="1" x14ac:dyDescent="0.3">
      <c r="A2647" s="24" t="s">
        <v>23</v>
      </c>
      <c r="B2647" s="24" t="s">
        <v>2992</v>
      </c>
      <c r="C2647" s="27" t="s">
        <v>2993</v>
      </c>
      <c r="D2647" s="54"/>
      <c r="E2647" s="39" t="str">
        <f>HYPERLINK("https://www.google.ru/search?q=1363284-001&amp;newwindow=1&amp;tbm=isch","Еще фото")</f>
        <v>Еще фото</v>
      </c>
      <c r="F2647" s="13"/>
      <c r="G2647" s="24" t="s">
        <v>2788</v>
      </c>
      <c r="H2647" s="24" t="s">
        <v>27</v>
      </c>
      <c r="I2647" s="24" t="s">
        <v>2784</v>
      </c>
      <c r="J2647" s="14" t="s">
        <v>29</v>
      </c>
      <c r="K2647" s="15" t="s">
        <v>54</v>
      </c>
      <c r="L2647" s="57"/>
      <c r="M2647" s="14" t="s">
        <v>2434</v>
      </c>
      <c r="N2647" s="14" t="s">
        <v>33</v>
      </c>
      <c r="O2647" s="14" t="s">
        <v>34</v>
      </c>
      <c r="P2647" s="15" t="s">
        <v>133</v>
      </c>
      <c r="Q2647" s="16">
        <v>2499</v>
      </c>
      <c r="R2647" s="17">
        <v>40</v>
      </c>
      <c r="S2647" s="18">
        <v>1724.31</v>
      </c>
      <c r="T2647" s="19" t="s">
        <v>36</v>
      </c>
      <c r="U2647" s="20" t="s">
        <v>126</v>
      </c>
      <c r="V2647" s="21" t="s">
        <v>127</v>
      </c>
      <c r="W2647" s="22">
        <v>11</v>
      </c>
      <c r="X2647" s="23"/>
    </row>
    <row r="2648" spans="1:24" s="1" customFormat="1" ht="21" customHeight="1" x14ac:dyDescent="0.3">
      <c r="A2648" s="24" t="s">
        <v>23</v>
      </c>
      <c r="B2648" s="24" t="s">
        <v>2992</v>
      </c>
      <c r="C2648" s="27" t="s">
        <v>2993</v>
      </c>
      <c r="D2648" s="54"/>
      <c r="E2648" s="39" t="str">
        <f>HYPERLINK("https://www.google.ru/search?q=1363284-001&amp;newwindow=1&amp;tbm=isch","Еще фото")</f>
        <v>Еще фото</v>
      </c>
      <c r="F2648" s="13"/>
      <c r="G2648" s="24" t="s">
        <v>2788</v>
      </c>
      <c r="H2648" s="24" t="s">
        <v>27</v>
      </c>
      <c r="I2648" s="24" t="s">
        <v>2784</v>
      </c>
      <c r="J2648" s="14" t="s">
        <v>29</v>
      </c>
      <c r="K2648" s="15" t="s">
        <v>54</v>
      </c>
      <c r="L2648" s="57"/>
      <c r="M2648" s="14" t="s">
        <v>2434</v>
      </c>
      <c r="N2648" s="14" t="s">
        <v>33</v>
      </c>
      <c r="O2648" s="14" t="s">
        <v>34</v>
      </c>
      <c r="P2648" s="15" t="s">
        <v>133</v>
      </c>
      <c r="Q2648" s="16">
        <v>2499</v>
      </c>
      <c r="R2648" s="17">
        <v>40</v>
      </c>
      <c r="S2648" s="18">
        <v>1724.31</v>
      </c>
      <c r="T2648" s="19" t="s">
        <v>36</v>
      </c>
      <c r="U2648" s="20" t="s">
        <v>128</v>
      </c>
      <c r="V2648" s="21" t="s">
        <v>129</v>
      </c>
      <c r="W2648" s="22">
        <v>9</v>
      </c>
      <c r="X2648" s="23"/>
    </row>
    <row r="2649" spans="1:24" s="1" customFormat="1" ht="21" customHeight="1" x14ac:dyDescent="0.3">
      <c r="A2649" s="24" t="s">
        <v>23</v>
      </c>
      <c r="B2649" s="24" t="s">
        <v>2992</v>
      </c>
      <c r="C2649" s="27" t="s">
        <v>2993</v>
      </c>
      <c r="D2649" s="54"/>
      <c r="E2649" s="39" t="str">
        <f>HYPERLINK("https://www.google.ru/search?q=1363284-001&amp;newwindow=1&amp;tbm=isch","Еще фото")</f>
        <v>Еще фото</v>
      </c>
      <c r="F2649" s="13"/>
      <c r="G2649" s="24" t="s">
        <v>2788</v>
      </c>
      <c r="H2649" s="24" t="s">
        <v>27</v>
      </c>
      <c r="I2649" s="24" t="s">
        <v>2784</v>
      </c>
      <c r="J2649" s="14" t="s">
        <v>29</v>
      </c>
      <c r="K2649" s="15" t="s">
        <v>54</v>
      </c>
      <c r="L2649" s="57"/>
      <c r="M2649" s="14" t="s">
        <v>2434</v>
      </c>
      <c r="N2649" s="14" t="s">
        <v>33</v>
      </c>
      <c r="O2649" s="14" t="s">
        <v>34</v>
      </c>
      <c r="P2649" s="15" t="s">
        <v>133</v>
      </c>
      <c r="Q2649" s="16">
        <v>2499</v>
      </c>
      <c r="R2649" s="17">
        <v>40</v>
      </c>
      <c r="S2649" s="18">
        <v>1724.31</v>
      </c>
      <c r="T2649" s="19" t="s">
        <v>36</v>
      </c>
      <c r="U2649" s="20" t="s">
        <v>59</v>
      </c>
      <c r="V2649" s="21" t="s">
        <v>60</v>
      </c>
      <c r="W2649" s="22">
        <v>1</v>
      </c>
      <c r="X2649" s="23"/>
    </row>
    <row r="2650" spans="1:24" s="1" customFormat="1" ht="32.1" customHeight="1" x14ac:dyDescent="0.3">
      <c r="A2650" s="24" t="s">
        <v>23</v>
      </c>
      <c r="B2650" s="24" t="s">
        <v>2992</v>
      </c>
      <c r="C2650" s="27" t="s">
        <v>2993</v>
      </c>
      <c r="D2650" s="55"/>
      <c r="E2650" s="39" t="str">
        <f>HYPERLINK("https://www.google.ru/search?q=1363284-001&amp;newwindow=1&amp;tbm=isch","Еще фото")</f>
        <v>Еще фото</v>
      </c>
      <c r="F2650" s="13"/>
      <c r="G2650" s="24" t="s">
        <v>2788</v>
      </c>
      <c r="H2650" s="24" t="s">
        <v>27</v>
      </c>
      <c r="I2650" s="24" t="s">
        <v>2784</v>
      </c>
      <c r="J2650" s="14" t="s">
        <v>29</v>
      </c>
      <c r="K2650" s="15" t="s">
        <v>54</v>
      </c>
      <c r="L2650" s="58"/>
      <c r="M2650" s="14" t="s">
        <v>2434</v>
      </c>
      <c r="N2650" s="14" t="s">
        <v>33</v>
      </c>
      <c r="O2650" s="14" t="s">
        <v>34</v>
      </c>
      <c r="P2650" s="15" t="s">
        <v>133</v>
      </c>
      <c r="Q2650" s="16">
        <v>2499</v>
      </c>
      <c r="R2650" s="17">
        <v>40</v>
      </c>
      <c r="S2650" s="18">
        <v>1724.31</v>
      </c>
      <c r="T2650" s="19" t="s">
        <v>36</v>
      </c>
      <c r="U2650" s="20" t="s">
        <v>130</v>
      </c>
      <c r="V2650" s="21" t="s">
        <v>131</v>
      </c>
      <c r="W2650" s="22">
        <v>2</v>
      </c>
      <c r="X2650" s="23"/>
    </row>
    <row r="2651" spans="1:24" s="1" customFormat="1" ht="26.1" customHeight="1" x14ac:dyDescent="0.3">
      <c r="A2651" s="11" t="s">
        <v>23</v>
      </c>
      <c r="B2651" s="11" t="s">
        <v>2992</v>
      </c>
      <c r="C2651" s="12" t="s">
        <v>2995</v>
      </c>
      <c r="D2651" s="53"/>
      <c r="E2651" s="39" t="str">
        <f>HYPERLINK("https://www.google.ru/search?q=1363284-690&amp;newwindow=1&amp;tbm=isch","Еще фото")</f>
        <v>Еще фото</v>
      </c>
      <c r="F2651" s="13"/>
      <c r="G2651" s="11" t="s">
        <v>2788</v>
      </c>
      <c r="H2651" s="11" t="s">
        <v>27</v>
      </c>
      <c r="I2651" s="14" t="s">
        <v>2784</v>
      </c>
      <c r="J2651" s="14" t="s">
        <v>29</v>
      </c>
      <c r="K2651" s="15" t="s">
        <v>54</v>
      </c>
      <c r="L2651" s="56"/>
      <c r="M2651" s="14"/>
      <c r="N2651" s="14" t="s">
        <v>140</v>
      </c>
      <c r="O2651" s="14"/>
      <c r="P2651" s="15" t="s">
        <v>51</v>
      </c>
      <c r="Q2651" s="16">
        <v>2499</v>
      </c>
      <c r="R2651" s="17">
        <v>40</v>
      </c>
      <c r="S2651" s="18">
        <v>1724.31</v>
      </c>
      <c r="T2651" s="19" t="s">
        <v>36</v>
      </c>
      <c r="U2651" s="20" t="s">
        <v>114</v>
      </c>
      <c r="V2651" s="21" t="s">
        <v>115</v>
      </c>
      <c r="W2651" s="22">
        <v>6</v>
      </c>
      <c r="X2651" s="23"/>
    </row>
    <row r="2652" spans="1:24" s="1" customFormat="1" ht="26.1" customHeight="1" x14ac:dyDescent="0.3">
      <c r="A2652" s="24" t="s">
        <v>23</v>
      </c>
      <c r="B2652" s="24" t="s">
        <v>2992</v>
      </c>
      <c r="C2652" s="12" t="s">
        <v>2995</v>
      </c>
      <c r="D2652" s="54"/>
      <c r="E2652" s="39" t="str">
        <f>HYPERLINK("https://www.google.ru/search?q=1363284-690&amp;newwindow=1&amp;tbm=isch","Еще фото")</f>
        <v>Еще фото</v>
      </c>
      <c r="F2652" s="13"/>
      <c r="G2652" s="24" t="s">
        <v>2788</v>
      </c>
      <c r="H2652" s="24" t="s">
        <v>27</v>
      </c>
      <c r="I2652" s="24" t="s">
        <v>2784</v>
      </c>
      <c r="J2652" s="14" t="s">
        <v>29</v>
      </c>
      <c r="K2652" s="15" t="s">
        <v>54</v>
      </c>
      <c r="L2652" s="57"/>
      <c r="M2652" s="14"/>
      <c r="N2652" s="14" t="s">
        <v>140</v>
      </c>
      <c r="O2652" s="14"/>
      <c r="P2652" s="15" t="s">
        <v>51</v>
      </c>
      <c r="Q2652" s="16">
        <v>2499</v>
      </c>
      <c r="R2652" s="17">
        <v>40</v>
      </c>
      <c r="S2652" s="18">
        <v>1724.31</v>
      </c>
      <c r="T2652" s="19" t="s">
        <v>36</v>
      </c>
      <c r="U2652" s="20" t="s">
        <v>126</v>
      </c>
      <c r="V2652" s="21" t="s">
        <v>127</v>
      </c>
      <c r="W2652" s="22">
        <v>8</v>
      </c>
      <c r="X2652" s="23"/>
    </row>
    <row r="2653" spans="1:24" s="1" customFormat="1" ht="26.1" customHeight="1" x14ac:dyDescent="0.3">
      <c r="A2653" s="24" t="s">
        <v>23</v>
      </c>
      <c r="B2653" s="24" t="s">
        <v>2992</v>
      </c>
      <c r="C2653" s="12" t="s">
        <v>2995</v>
      </c>
      <c r="D2653" s="54"/>
      <c r="E2653" s="39" t="str">
        <f>HYPERLINK("https://www.google.ru/search?q=1363284-690&amp;newwindow=1&amp;tbm=isch","Еще фото")</f>
        <v>Еще фото</v>
      </c>
      <c r="F2653" s="13"/>
      <c r="G2653" s="24" t="s">
        <v>2788</v>
      </c>
      <c r="H2653" s="24" t="s">
        <v>27</v>
      </c>
      <c r="I2653" s="24" t="s">
        <v>2784</v>
      </c>
      <c r="J2653" s="14" t="s">
        <v>29</v>
      </c>
      <c r="K2653" s="15" t="s">
        <v>54</v>
      </c>
      <c r="L2653" s="57"/>
      <c r="M2653" s="14"/>
      <c r="N2653" s="14" t="s">
        <v>140</v>
      </c>
      <c r="O2653" s="14"/>
      <c r="P2653" s="15" t="s">
        <v>51</v>
      </c>
      <c r="Q2653" s="16">
        <v>2499</v>
      </c>
      <c r="R2653" s="17">
        <v>40</v>
      </c>
      <c r="S2653" s="18">
        <v>1724.31</v>
      </c>
      <c r="T2653" s="19" t="s">
        <v>36</v>
      </c>
      <c r="U2653" s="20" t="s">
        <v>128</v>
      </c>
      <c r="V2653" s="21" t="s">
        <v>129</v>
      </c>
      <c r="W2653" s="22">
        <v>5</v>
      </c>
      <c r="X2653" s="23"/>
    </row>
    <row r="2654" spans="1:24" s="1" customFormat="1" ht="26.1" customHeight="1" x14ac:dyDescent="0.3">
      <c r="A2654" s="24" t="s">
        <v>23</v>
      </c>
      <c r="B2654" s="24" t="s">
        <v>2992</v>
      </c>
      <c r="C2654" s="12" t="s">
        <v>2995</v>
      </c>
      <c r="D2654" s="55"/>
      <c r="E2654" s="39" t="str">
        <f>HYPERLINK("https://www.google.ru/search?q=1363284-690&amp;newwindow=1&amp;tbm=isch","Еще фото")</f>
        <v>Еще фото</v>
      </c>
      <c r="F2654" s="13"/>
      <c r="G2654" s="24" t="s">
        <v>2788</v>
      </c>
      <c r="H2654" s="24" t="s">
        <v>27</v>
      </c>
      <c r="I2654" s="24" t="s">
        <v>2784</v>
      </c>
      <c r="J2654" s="14" t="s">
        <v>29</v>
      </c>
      <c r="K2654" s="15" t="s">
        <v>54</v>
      </c>
      <c r="L2654" s="58"/>
      <c r="M2654" s="14"/>
      <c r="N2654" s="14" t="s">
        <v>140</v>
      </c>
      <c r="O2654" s="14"/>
      <c r="P2654" s="15" t="s">
        <v>51</v>
      </c>
      <c r="Q2654" s="16">
        <v>2499</v>
      </c>
      <c r="R2654" s="17">
        <v>40</v>
      </c>
      <c r="S2654" s="18">
        <v>1724.31</v>
      </c>
      <c r="T2654" s="19" t="s">
        <v>36</v>
      </c>
      <c r="U2654" s="20" t="s">
        <v>130</v>
      </c>
      <c r="V2654" s="21" t="s">
        <v>131</v>
      </c>
      <c r="W2654" s="22">
        <v>1</v>
      </c>
      <c r="X2654" s="23"/>
    </row>
    <row r="2655" spans="1:24" s="1" customFormat="1" ht="21" customHeight="1" x14ac:dyDescent="0.3">
      <c r="A2655" s="11" t="s">
        <v>23</v>
      </c>
      <c r="B2655" s="11" t="s">
        <v>2992</v>
      </c>
      <c r="C2655" s="26" t="s">
        <v>2996</v>
      </c>
      <c r="D2655" s="53"/>
      <c r="E2655" s="39" t="str">
        <f>HYPERLINK("https://www.google.ru/search?q=1363284-712&amp;newwindow=1&amp;tbm=isch","Еще фото")</f>
        <v>Еще фото</v>
      </c>
      <c r="F2655" s="13"/>
      <c r="G2655" s="11" t="s">
        <v>2788</v>
      </c>
      <c r="H2655" s="11" t="s">
        <v>27</v>
      </c>
      <c r="I2655" s="14" t="s">
        <v>2784</v>
      </c>
      <c r="J2655" s="14" t="s">
        <v>29</v>
      </c>
      <c r="K2655" s="15" t="s">
        <v>54</v>
      </c>
      <c r="L2655" s="56"/>
      <c r="M2655" s="14"/>
      <c r="N2655" s="14" t="s">
        <v>125</v>
      </c>
      <c r="O2655" s="14"/>
      <c r="P2655" s="15" t="s">
        <v>51</v>
      </c>
      <c r="Q2655" s="16">
        <v>2499</v>
      </c>
      <c r="R2655" s="17">
        <v>40</v>
      </c>
      <c r="S2655" s="18">
        <v>1724.31</v>
      </c>
      <c r="T2655" s="19" t="s">
        <v>36</v>
      </c>
      <c r="U2655" s="20" t="s">
        <v>114</v>
      </c>
      <c r="V2655" s="21" t="s">
        <v>115</v>
      </c>
      <c r="W2655" s="22">
        <v>6</v>
      </c>
      <c r="X2655" s="23"/>
    </row>
    <row r="2656" spans="1:24" s="1" customFormat="1" ht="21" customHeight="1" x14ac:dyDescent="0.3">
      <c r="A2656" s="24" t="s">
        <v>23</v>
      </c>
      <c r="B2656" s="24" t="s">
        <v>2992</v>
      </c>
      <c r="C2656" s="27" t="s">
        <v>2996</v>
      </c>
      <c r="D2656" s="54"/>
      <c r="E2656" s="39" t="str">
        <f>HYPERLINK("https://www.google.ru/search?q=1363284-712&amp;newwindow=1&amp;tbm=isch","Еще фото")</f>
        <v>Еще фото</v>
      </c>
      <c r="F2656" s="13"/>
      <c r="G2656" s="24" t="s">
        <v>2788</v>
      </c>
      <c r="H2656" s="24" t="s">
        <v>27</v>
      </c>
      <c r="I2656" s="24" t="s">
        <v>2784</v>
      </c>
      <c r="J2656" s="14" t="s">
        <v>29</v>
      </c>
      <c r="K2656" s="15" t="s">
        <v>54</v>
      </c>
      <c r="L2656" s="57"/>
      <c r="M2656" s="14"/>
      <c r="N2656" s="14" t="s">
        <v>125</v>
      </c>
      <c r="O2656" s="14"/>
      <c r="P2656" s="15" t="s">
        <v>51</v>
      </c>
      <c r="Q2656" s="16">
        <v>2499</v>
      </c>
      <c r="R2656" s="17">
        <v>40</v>
      </c>
      <c r="S2656" s="18">
        <v>1724.31</v>
      </c>
      <c r="T2656" s="19" t="s">
        <v>36</v>
      </c>
      <c r="U2656" s="20" t="s">
        <v>126</v>
      </c>
      <c r="V2656" s="21" t="s">
        <v>127</v>
      </c>
      <c r="W2656" s="22">
        <v>9</v>
      </c>
      <c r="X2656" s="23"/>
    </row>
    <row r="2657" spans="1:24" s="1" customFormat="1" ht="21" customHeight="1" x14ac:dyDescent="0.3">
      <c r="A2657" s="24" t="s">
        <v>23</v>
      </c>
      <c r="B2657" s="24" t="s">
        <v>2992</v>
      </c>
      <c r="C2657" s="27" t="s">
        <v>2996</v>
      </c>
      <c r="D2657" s="54"/>
      <c r="E2657" s="39" t="str">
        <f>HYPERLINK("https://www.google.ru/search?q=1363284-712&amp;newwindow=1&amp;tbm=isch","Еще фото")</f>
        <v>Еще фото</v>
      </c>
      <c r="F2657" s="13"/>
      <c r="G2657" s="24" t="s">
        <v>2788</v>
      </c>
      <c r="H2657" s="24" t="s">
        <v>27</v>
      </c>
      <c r="I2657" s="24" t="s">
        <v>2784</v>
      </c>
      <c r="J2657" s="14" t="s">
        <v>29</v>
      </c>
      <c r="K2657" s="15" t="s">
        <v>54</v>
      </c>
      <c r="L2657" s="57"/>
      <c r="M2657" s="14"/>
      <c r="N2657" s="14" t="s">
        <v>125</v>
      </c>
      <c r="O2657" s="14"/>
      <c r="P2657" s="15" t="s">
        <v>51</v>
      </c>
      <c r="Q2657" s="16">
        <v>2499</v>
      </c>
      <c r="R2657" s="17">
        <v>40</v>
      </c>
      <c r="S2657" s="18">
        <v>1724.31</v>
      </c>
      <c r="T2657" s="19" t="s">
        <v>36</v>
      </c>
      <c r="U2657" s="20" t="s">
        <v>128</v>
      </c>
      <c r="V2657" s="21" t="s">
        <v>129</v>
      </c>
      <c r="W2657" s="22">
        <v>7</v>
      </c>
      <c r="X2657" s="23"/>
    </row>
    <row r="2658" spans="1:24" s="1" customFormat="1" ht="21" customHeight="1" x14ac:dyDescent="0.3">
      <c r="A2658" s="24" t="s">
        <v>23</v>
      </c>
      <c r="B2658" s="24" t="s">
        <v>2992</v>
      </c>
      <c r="C2658" s="27" t="s">
        <v>2996</v>
      </c>
      <c r="D2658" s="54"/>
      <c r="E2658" s="39" t="str">
        <f>HYPERLINK("https://www.google.ru/search?q=1363284-712&amp;newwindow=1&amp;tbm=isch","Еще фото")</f>
        <v>Еще фото</v>
      </c>
      <c r="F2658" s="13"/>
      <c r="G2658" s="24" t="s">
        <v>2788</v>
      </c>
      <c r="H2658" s="24" t="s">
        <v>27</v>
      </c>
      <c r="I2658" s="24" t="s">
        <v>2784</v>
      </c>
      <c r="J2658" s="14" t="s">
        <v>29</v>
      </c>
      <c r="K2658" s="15" t="s">
        <v>54</v>
      </c>
      <c r="L2658" s="57"/>
      <c r="M2658" s="14"/>
      <c r="N2658" s="14" t="s">
        <v>125</v>
      </c>
      <c r="O2658" s="14"/>
      <c r="P2658" s="15" t="s">
        <v>51</v>
      </c>
      <c r="Q2658" s="16">
        <v>2499</v>
      </c>
      <c r="R2658" s="17">
        <v>40</v>
      </c>
      <c r="S2658" s="18">
        <v>1724.31</v>
      </c>
      <c r="T2658" s="19" t="s">
        <v>36</v>
      </c>
      <c r="U2658" s="20" t="s">
        <v>59</v>
      </c>
      <c r="V2658" s="21" t="s">
        <v>60</v>
      </c>
      <c r="W2658" s="22">
        <v>12</v>
      </c>
      <c r="X2658" s="23"/>
    </row>
    <row r="2659" spans="1:24" s="1" customFormat="1" ht="32.1" customHeight="1" x14ac:dyDescent="0.3">
      <c r="A2659" s="24" t="s">
        <v>23</v>
      </c>
      <c r="B2659" s="24" t="s">
        <v>2992</v>
      </c>
      <c r="C2659" s="27" t="s">
        <v>2996</v>
      </c>
      <c r="D2659" s="55"/>
      <c r="E2659" s="39" t="str">
        <f>HYPERLINK("https://www.google.ru/search?q=1363284-712&amp;newwindow=1&amp;tbm=isch","Еще фото")</f>
        <v>Еще фото</v>
      </c>
      <c r="F2659" s="13"/>
      <c r="G2659" s="24" t="s">
        <v>2788</v>
      </c>
      <c r="H2659" s="24" t="s">
        <v>27</v>
      </c>
      <c r="I2659" s="24" t="s">
        <v>2784</v>
      </c>
      <c r="J2659" s="14" t="s">
        <v>29</v>
      </c>
      <c r="K2659" s="15" t="s">
        <v>54</v>
      </c>
      <c r="L2659" s="58"/>
      <c r="M2659" s="14"/>
      <c r="N2659" s="14" t="s">
        <v>125</v>
      </c>
      <c r="O2659" s="14"/>
      <c r="P2659" s="15" t="s">
        <v>51</v>
      </c>
      <c r="Q2659" s="16">
        <v>2499</v>
      </c>
      <c r="R2659" s="17">
        <v>40</v>
      </c>
      <c r="S2659" s="18">
        <v>1724.31</v>
      </c>
      <c r="T2659" s="19" t="s">
        <v>36</v>
      </c>
      <c r="U2659" s="20" t="s">
        <v>130</v>
      </c>
      <c r="V2659" s="21" t="s">
        <v>131</v>
      </c>
      <c r="W2659" s="22">
        <v>3</v>
      </c>
      <c r="X2659" s="23"/>
    </row>
    <row r="2660" spans="1:24" s="1" customFormat="1" ht="35.1" customHeight="1" x14ac:dyDescent="0.3">
      <c r="A2660" s="11" t="s">
        <v>23</v>
      </c>
      <c r="B2660" s="11" t="s">
        <v>2860</v>
      </c>
      <c r="C2660" s="12" t="s">
        <v>2997</v>
      </c>
      <c r="D2660" s="53"/>
      <c r="E2660" s="39" t="str">
        <f>HYPERLINK("https://www.google.ru/search?q=1363374-425&amp;newwindow=1&amp;tbm=isch","Еще фото")</f>
        <v>Еще фото</v>
      </c>
      <c r="F2660" s="13"/>
      <c r="G2660" s="11" t="s">
        <v>2862</v>
      </c>
      <c r="H2660" s="11" t="s">
        <v>27</v>
      </c>
      <c r="I2660" s="14" t="s">
        <v>2784</v>
      </c>
      <c r="J2660" s="14" t="s">
        <v>29</v>
      </c>
      <c r="K2660" s="15" t="s">
        <v>54</v>
      </c>
      <c r="L2660" s="56"/>
      <c r="M2660" s="14"/>
      <c r="N2660" s="14" t="s">
        <v>91</v>
      </c>
      <c r="O2660" s="14"/>
      <c r="P2660" s="15" t="s">
        <v>51</v>
      </c>
      <c r="Q2660" s="16">
        <v>2699</v>
      </c>
      <c r="R2660" s="17">
        <v>40</v>
      </c>
      <c r="S2660" s="18">
        <v>1862.31</v>
      </c>
      <c r="T2660" s="19" t="s">
        <v>36</v>
      </c>
      <c r="U2660" s="20" t="s">
        <v>114</v>
      </c>
      <c r="V2660" s="21" t="s">
        <v>115</v>
      </c>
      <c r="W2660" s="22">
        <v>4</v>
      </c>
      <c r="X2660" s="23"/>
    </row>
    <row r="2661" spans="1:24" s="1" customFormat="1" ht="35.1" customHeight="1" x14ac:dyDescent="0.3">
      <c r="A2661" s="24" t="s">
        <v>23</v>
      </c>
      <c r="B2661" s="24" t="s">
        <v>2860</v>
      </c>
      <c r="C2661" s="12" t="s">
        <v>2997</v>
      </c>
      <c r="D2661" s="54"/>
      <c r="E2661" s="39" t="str">
        <f>HYPERLINK("https://www.google.ru/search?q=1363374-425&amp;newwindow=1&amp;tbm=isch","Еще фото")</f>
        <v>Еще фото</v>
      </c>
      <c r="F2661" s="13"/>
      <c r="G2661" s="24" t="s">
        <v>2862</v>
      </c>
      <c r="H2661" s="24" t="s">
        <v>27</v>
      </c>
      <c r="I2661" s="24" t="s">
        <v>2784</v>
      </c>
      <c r="J2661" s="14" t="s">
        <v>29</v>
      </c>
      <c r="K2661" s="15" t="s">
        <v>54</v>
      </c>
      <c r="L2661" s="57"/>
      <c r="M2661" s="14"/>
      <c r="N2661" s="14" t="s">
        <v>91</v>
      </c>
      <c r="O2661" s="14"/>
      <c r="P2661" s="15" t="s">
        <v>51</v>
      </c>
      <c r="Q2661" s="16">
        <v>2699</v>
      </c>
      <c r="R2661" s="17">
        <v>40</v>
      </c>
      <c r="S2661" s="18">
        <v>1862.31</v>
      </c>
      <c r="T2661" s="19" t="s">
        <v>36</v>
      </c>
      <c r="U2661" s="20" t="s">
        <v>126</v>
      </c>
      <c r="V2661" s="21" t="s">
        <v>127</v>
      </c>
      <c r="W2661" s="22">
        <v>3</v>
      </c>
      <c r="X2661" s="23"/>
    </row>
    <row r="2662" spans="1:24" s="1" customFormat="1" ht="36.950000000000003" customHeight="1" x14ac:dyDescent="0.3">
      <c r="A2662" s="24" t="s">
        <v>23</v>
      </c>
      <c r="B2662" s="24" t="s">
        <v>2860</v>
      </c>
      <c r="C2662" s="12" t="s">
        <v>2997</v>
      </c>
      <c r="D2662" s="55"/>
      <c r="E2662" s="39" t="str">
        <f>HYPERLINK("https://www.google.ru/search?q=1363374-425&amp;newwindow=1&amp;tbm=isch","Еще фото")</f>
        <v>Еще фото</v>
      </c>
      <c r="F2662" s="13"/>
      <c r="G2662" s="24" t="s">
        <v>2862</v>
      </c>
      <c r="H2662" s="24" t="s">
        <v>27</v>
      </c>
      <c r="I2662" s="24" t="s">
        <v>2784</v>
      </c>
      <c r="J2662" s="14" t="s">
        <v>29</v>
      </c>
      <c r="K2662" s="15" t="s">
        <v>54</v>
      </c>
      <c r="L2662" s="58"/>
      <c r="M2662" s="14"/>
      <c r="N2662" s="14" t="s">
        <v>91</v>
      </c>
      <c r="O2662" s="14"/>
      <c r="P2662" s="15" t="s">
        <v>51</v>
      </c>
      <c r="Q2662" s="16">
        <v>2699</v>
      </c>
      <c r="R2662" s="17">
        <v>40</v>
      </c>
      <c r="S2662" s="18">
        <v>1862.31</v>
      </c>
      <c r="T2662" s="19" t="s">
        <v>36</v>
      </c>
      <c r="U2662" s="20" t="s">
        <v>128</v>
      </c>
      <c r="V2662" s="21" t="s">
        <v>129</v>
      </c>
      <c r="W2662" s="22">
        <v>1</v>
      </c>
      <c r="X2662" s="23"/>
    </row>
    <row r="2663" spans="1:24" s="1" customFormat="1" ht="108" customHeight="1" x14ac:dyDescent="0.3">
      <c r="A2663" s="11" t="s">
        <v>23</v>
      </c>
      <c r="B2663" s="11" t="s">
        <v>2860</v>
      </c>
      <c r="C2663" s="12" t="s">
        <v>2998</v>
      </c>
      <c r="D2663" s="25"/>
      <c r="E2663" s="39" t="str">
        <f>HYPERLINK("https://www.google.ru/search?q=1363374-600&amp;newwindow=1&amp;tbm=isch","Еще фото")</f>
        <v>Еще фото</v>
      </c>
      <c r="F2663" s="13"/>
      <c r="G2663" s="11" t="s">
        <v>2862</v>
      </c>
      <c r="H2663" s="11" t="s">
        <v>27</v>
      </c>
      <c r="I2663" s="14" t="s">
        <v>2784</v>
      </c>
      <c r="J2663" s="14" t="s">
        <v>29</v>
      </c>
      <c r="K2663" s="15" t="s">
        <v>54</v>
      </c>
      <c r="L2663" s="14" t="s">
        <v>2999</v>
      </c>
      <c r="M2663" s="14"/>
      <c r="N2663" s="14" t="s">
        <v>57</v>
      </c>
      <c r="O2663" s="14"/>
      <c r="P2663" s="15" t="s">
        <v>3000</v>
      </c>
      <c r="Q2663" s="16">
        <v>2699</v>
      </c>
      <c r="R2663" s="17">
        <v>40</v>
      </c>
      <c r="S2663" s="18">
        <v>1862.31</v>
      </c>
      <c r="T2663" s="19" t="s">
        <v>36</v>
      </c>
      <c r="U2663" s="20" t="s">
        <v>114</v>
      </c>
      <c r="V2663" s="21" t="s">
        <v>115</v>
      </c>
      <c r="W2663" s="22">
        <v>1</v>
      </c>
      <c r="X2663" s="23"/>
    </row>
    <row r="2664" spans="1:24" s="1" customFormat="1" ht="51.95" customHeight="1" x14ac:dyDescent="0.3">
      <c r="A2664" s="11" t="s">
        <v>23</v>
      </c>
      <c r="B2664" s="11" t="s">
        <v>3001</v>
      </c>
      <c r="C2664" s="12" t="s">
        <v>3002</v>
      </c>
      <c r="D2664" s="59"/>
      <c r="E2664" s="39" t="str">
        <f>HYPERLINK("https://www.google.ru/search?q=1373826-501&amp;newwindow=1&amp;tbm=isch","Еще фото")</f>
        <v>Еще фото</v>
      </c>
      <c r="F2664" s="13"/>
      <c r="G2664" s="11" t="s">
        <v>2809</v>
      </c>
      <c r="H2664" s="11" t="s">
        <v>27</v>
      </c>
      <c r="I2664" s="14" t="s">
        <v>2784</v>
      </c>
      <c r="J2664" s="14" t="s">
        <v>29</v>
      </c>
      <c r="K2664" s="15" t="s">
        <v>64</v>
      </c>
      <c r="L2664" s="56" t="s">
        <v>2940</v>
      </c>
      <c r="M2664" s="14"/>
      <c r="N2664" s="14" t="s">
        <v>215</v>
      </c>
      <c r="O2664" s="14"/>
      <c r="P2664" s="15" t="s">
        <v>185</v>
      </c>
      <c r="Q2664" s="16">
        <v>7099</v>
      </c>
      <c r="R2664" s="17">
        <v>40</v>
      </c>
      <c r="S2664" s="18">
        <v>4898.3099999999995</v>
      </c>
      <c r="T2664" s="19" t="s">
        <v>36</v>
      </c>
      <c r="U2664" s="20" t="s">
        <v>69</v>
      </c>
      <c r="V2664" s="21" t="s">
        <v>70</v>
      </c>
      <c r="W2664" s="22">
        <v>4</v>
      </c>
      <c r="X2664" s="23"/>
    </row>
    <row r="2665" spans="1:24" s="1" customFormat="1" ht="60.95" customHeight="1" x14ac:dyDescent="0.3">
      <c r="A2665" s="24" t="s">
        <v>23</v>
      </c>
      <c r="B2665" s="24" t="s">
        <v>3001</v>
      </c>
      <c r="C2665" s="12" t="s">
        <v>3002</v>
      </c>
      <c r="D2665" s="60"/>
      <c r="E2665" s="39" t="str">
        <f>HYPERLINK("https://www.google.ru/search?q=1373826-501&amp;newwindow=1&amp;tbm=isch","Еще фото")</f>
        <v>Еще фото</v>
      </c>
      <c r="F2665" s="13"/>
      <c r="G2665" s="24" t="s">
        <v>2809</v>
      </c>
      <c r="H2665" s="24" t="s">
        <v>27</v>
      </c>
      <c r="I2665" s="24" t="s">
        <v>2784</v>
      </c>
      <c r="J2665" s="14" t="s">
        <v>29</v>
      </c>
      <c r="K2665" s="15" t="s">
        <v>64</v>
      </c>
      <c r="L2665" s="58"/>
      <c r="M2665" s="14"/>
      <c r="N2665" s="14" t="s">
        <v>215</v>
      </c>
      <c r="O2665" s="14"/>
      <c r="P2665" s="15" t="s">
        <v>185</v>
      </c>
      <c r="Q2665" s="16">
        <v>7099</v>
      </c>
      <c r="R2665" s="17">
        <v>40</v>
      </c>
      <c r="S2665" s="18">
        <v>4898.3099999999995</v>
      </c>
      <c r="T2665" s="19" t="s">
        <v>36</v>
      </c>
      <c r="U2665" s="20" t="s">
        <v>37</v>
      </c>
      <c r="V2665" s="21" t="s">
        <v>86</v>
      </c>
      <c r="W2665" s="22">
        <v>1</v>
      </c>
      <c r="X2665" s="23"/>
    </row>
    <row r="2666" spans="1:24" s="1" customFormat="1" ht="108" customHeight="1" x14ac:dyDescent="0.3">
      <c r="A2666" s="11" t="s">
        <v>23</v>
      </c>
      <c r="B2666" s="11" t="s">
        <v>2852</v>
      </c>
      <c r="C2666" s="12" t="s">
        <v>3003</v>
      </c>
      <c r="D2666" s="25"/>
      <c r="E2666" s="39" t="str">
        <f>HYPERLINK("https://www.google.ru/search?q=1373865-012&amp;newwindow=1&amp;tbm=isch","Еще фото")</f>
        <v>Еще фото</v>
      </c>
      <c r="F2666" s="13"/>
      <c r="G2666" s="11" t="s">
        <v>2809</v>
      </c>
      <c r="H2666" s="11" t="s">
        <v>27</v>
      </c>
      <c r="I2666" s="14" t="s">
        <v>2784</v>
      </c>
      <c r="J2666" s="14" t="s">
        <v>29</v>
      </c>
      <c r="K2666" s="15" t="s">
        <v>64</v>
      </c>
      <c r="L2666" s="14" t="s">
        <v>2854</v>
      </c>
      <c r="M2666" s="14"/>
      <c r="N2666" s="14" t="s">
        <v>84</v>
      </c>
      <c r="O2666" s="14"/>
      <c r="P2666" s="15" t="s">
        <v>100</v>
      </c>
      <c r="Q2666" s="16">
        <v>3999</v>
      </c>
      <c r="R2666" s="17">
        <v>40</v>
      </c>
      <c r="S2666" s="18">
        <v>2759.31</v>
      </c>
      <c r="T2666" s="19" t="s">
        <v>36</v>
      </c>
      <c r="U2666" s="20" t="s">
        <v>69</v>
      </c>
      <c r="V2666" s="21" t="s">
        <v>70</v>
      </c>
      <c r="W2666" s="22">
        <v>9</v>
      </c>
      <c r="X2666" s="23"/>
    </row>
    <row r="2667" spans="1:24" s="1" customFormat="1" ht="51.95" customHeight="1" x14ac:dyDescent="0.3">
      <c r="A2667" s="11" t="s">
        <v>23</v>
      </c>
      <c r="B2667" s="11" t="s">
        <v>3004</v>
      </c>
      <c r="C2667" s="12" t="s">
        <v>3005</v>
      </c>
      <c r="D2667" s="59"/>
      <c r="E2667" s="39" t="str">
        <f>HYPERLINK("https://www.google.ru/search?q=1373997-001&amp;newwindow=1&amp;tbm=isch","Еще фото")</f>
        <v>Еще фото</v>
      </c>
      <c r="F2667" s="13" t="s">
        <v>98</v>
      </c>
      <c r="G2667" s="11" t="s">
        <v>2788</v>
      </c>
      <c r="H2667" s="11" t="s">
        <v>27</v>
      </c>
      <c r="I2667" s="14" t="s">
        <v>2784</v>
      </c>
      <c r="J2667" s="14" t="s">
        <v>29</v>
      </c>
      <c r="K2667" s="15" t="s">
        <v>30</v>
      </c>
      <c r="L2667" s="56" t="s">
        <v>3006</v>
      </c>
      <c r="M2667" s="14"/>
      <c r="N2667" s="14" t="s">
        <v>33</v>
      </c>
      <c r="O2667" s="14"/>
      <c r="P2667" s="15" t="s">
        <v>2856</v>
      </c>
      <c r="Q2667" s="16">
        <v>3799</v>
      </c>
      <c r="R2667" s="17">
        <v>40</v>
      </c>
      <c r="S2667" s="18">
        <v>2621.31</v>
      </c>
      <c r="T2667" s="19" t="s">
        <v>36</v>
      </c>
      <c r="U2667" s="20" t="s">
        <v>37</v>
      </c>
      <c r="V2667" s="21" t="s">
        <v>38</v>
      </c>
      <c r="W2667" s="22">
        <v>9</v>
      </c>
      <c r="X2667" s="23"/>
    </row>
    <row r="2668" spans="1:24" s="1" customFormat="1" ht="60.95" customHeight="1" x14ac:dyDescent="0.3">
      <c r="A2668" s="24" t="s">
        <v>23</v>
      </c>
      <c r="B2668" s="24" t="s">
        <v>3004</v>
      </c>
      <c r="C2668" s="12" t="s">
        <v>3005</v>
      </c>
      <c r="D2668" s="60"/>
      <c r="E2668" s="39" t="str">
        <f>HYPERLINK("https://www.google.ru/search?q=1373997-001&amp;newwindow=1&amp;tbm=isch","Еще фото")</f>
        <v>Еще фото</v>
      </c>
      <c r="F2668" s="13" t="s">
        <v>98</v>
      </c>
      <c r="G2668" s="24" t="s">
        <v>2788</v>
      </c>
      <c r="H2668" s="24" t="s">
        <v>27</v>
      </c>
      <c r="I2668" s="24" t="s">
        <v>2784</v>
      </c>
      <c r="J2668" s="14" t="s">
        <v>29</v>
      </c>
      <c r="K2668" s="15" t="s">
        <v>30</v>
      </c>
      <c r="L2668" s="58"/>
      <c r="M2668" s="14"/>
      <c r="N2668" s="14" t="s">
        <v>33</v>
      </c>
      <c r="O2668" s="14"/>
      <c r="P2668" s="15" t="s">
        <v>2856</v>
      </c>
      <c r="Q2668" s="16">
        <v>3799</v>
      </c>
      <c r="R2668" s="17">
        <v>40</v>
      </c>
      <c r="S2668" s="18">
        <v>2621.31</v>
      </c>
      <c r="T2668" s="19" t="s">
        <v>36</v>
      </c>
      <c r="U2668" s="20" t="s">
        <v>39</v>
      </c>
      <c r="V2668" s="21" t="s">
        <v>40</v>
      </c>
      <c r="W2668" s="22">
        <v>1</v>
      </c>
      <c r="X2668" s="23"/>
    </row>
    <row r="2669" spans="1:24" s="1" customFormat="1" ht="51.95" customHeight="1" x14ac:dyDescent="0.3">
      <c r="A2669" s="11" t="s">
        <v>23</v>
      </c>
      <c r="B2669" s="11" t="s">
        <v>3007</v>
      </c>
      <c r="C2669" s="12" t="s">
        <v>3008</v>
      </c>
      <c r="D2669" s="59"/>
      <c r="E2669" s="39" t="str">
        <f>HYPERLINK("https://www.google.ru/search?q=1373997-100&amp;newwindow=1&amp;tbm=isch","Еще фото")</f>
        <v>Еще фото</v>
      </c>
      <c r="F2669" s="13" t="s">
        <v>98</v>
      </c>
      <c r="G2669" s="11" t="s">
        <v>2788</v>
      </c>
      <c r="H2669" s="11" t="s">
        <v>27</v>
      </c>
      <c r="I2669" s="14" t="s">
        <v>2784</v>
      </c>
      <c r="J2669" s="14" t="s">
        <v>29</v>
      </c>
      <c r="K2669" s="15" t="s">
        <v>30</v>
      </c>
      <c r="L2669" s="56" t="s">
        <v>3006</v>
      </c>
      <c r="M2669" s="14"/>
      <c r="N2669" s="14" t="s">
        <v>74</v>
      </c>
      <c r="O2669" s="14"/>
      <c r="P2669" s="15" t="s">
        <v>2601</v>
      </c>
      <c r="Q2669" s="16">
        <v>3799</v>
      </c>
      <c r="R2669" s="17">
        <v>40</v>
      </c>
      <c r="S2669" s="18">
        <v>2621.31</v>
      </c>
      <c r="T2669" s="19" t="s">
        <v>36</v>
      </c>
      <c r="U2669" s="20" t="s">
        <v>37</v>
      </c>
      <c r="V2669" s="21" t="s">
        <v>38</v>
      </c>
      <c r="W2669" s="22">
        <v>1</v>
      </c>
      <c r="X2669" s="23"/>
    </row>
    <row r="2670" spans="1:24" s="1" customFormat="1" ht="60.95" customHeight="1" x14ac:dyDescent="0.3">
      <c r="A2670" s="24" t="s">
        <v>23</v>
      </c>
      <c r="B2670" s="24" t="s">
        <v>3007</v>
      </c>
      <c r="C2670" s="12" t="s">
        <v>3008</v>
      </c>
      <c r="D2670" s="60"/>
      <c r="E2670" s="39" t="str">
        <f>HYPERLINK("https://www.google.ru/search?q=1373997-100&amp;newwindow=1&amp;tbm=isch","Еще фото")</f>
        <v>Еще фото</v>
      </c>
      <c r="F2670" s="13" t="s">
        <v>98</v>
      </c>
      <c r="G2670" s="24" t="s">
        <v>2788</v>
      </c>
      <c r="H2670" s="24" t="s">
        <v>27</v>
      </c>
      <c r="I2670" s="24" t="s">
        <v>2784</v>
      </c>
      <c r="J2670" s="14" t="s">
        <v>29</v>
      </c>
      <c r="K2670" s="15" t="s">
        <v>30</v>
      </c>
      <c r="L2670" s="58"/>
      <c r="M2670" s="14"/>
      <c r="N2670" s="14" t="s">
        <v>74</v>
      </c>
      <c r="O2670" s="14"/>
      <c r="P2670" s="15" t="s">
        <v>2601</v>
      </c>
      <c r="Q2670" s="16">
        <v>3799</v>
      </c>
      <c r="R2670" s="17">
        <v>40</v>
      </c>
      <c r="S2670" s="18">
        <v>2621.31</v>
      </c>
      <c r="T2670" s="19" t="s">
        <v>36</v>
      </c>
      <c r="U2670" s="20" t="s">
        <v>41</v>
      </c>
      <c r="V2670" s="21" t="s">
        <v>42</v>
      </c>
      <c r="W2670" s="22">
        <v>1</v>
      </c>
      <c r="X2670" s="23"/>
    </row>
    <row r="2671" spans="1:24" s="1" customFormat="1" ht="108" customHeight="1" x14ac:dyDescent="0.3">
      <c r="A2671" s="11" t="s">
        <v>23</v>
      </c>
      <c r="B2671" s="11" t="s">
        <v>3007</v>
      </c>
      <c r="C2671" s="12" t="s">
        <v>3009</v>
      </c>
      <c r="D2671" s="25"/>
      <c r="E2671" s="39" t="str">
        <f>HYPERLINK("https://www.google.ru/search?q=1373997-411&amp;newwindow=1&amp;tbm=isch","Еще фото")</f>
        <v>Еще фото</v>
      </c>
      <c r="F2671" s="13"/>
      <c r="G2671" s="11" t="s">
        <v>2788</v>
      </c>
      <c r="H2671" s="11" t="s">
        <v>27</v>
      </c>
      <c r="I2671" s="14" t="s">
        <v>2784</v>
      </c>
      <c r="J2671" s="14" t="s">
        <v>47</v>
      </c>
      <c r="K2671" s="15" t="s">
        <v>30</v>
      </c>
      <c r="L2671" s="14" t="s">
        <v>3006</v>
      </c>
      <c r="M2671" s="14"/>
      <c r="N2671" s="14" t="s">
        <v>91</v>
      </c>
      <c r="O2671" s="14"/>
      <c r="P2671" s="15" t="s">
        <v>2601</v>
      </c>
      <c r="Q2671" s="16">
        <v>3799</v>
      </c>
      <c r="R2671" s="17">
        <v>40</v>
      </c>
      <c r="S2671" s="18">
        <v>2621.31</v>
      </c>
      <c r="T2671" s="19" t="s">
        <v>36</v>
      </c>
      <c r="U2671" s="20" t="s">
        <v>39</v>
      </c>
      <c r="V2671" s="21" t="s">
        <v>40</v>
      </c>
      <c r="W2671" s="22">
        <v>1</v>
      </c>
      <c r="X2671" s="23"/>
    </row>
    <row r="2672" spans="1:24" s="1" customFormat="1" ht="51.95" customHeight="1" x14ac:dyDescent="0.3">
      <c r="A2672" s="11" t="s">
        <v>23</v>
      </c>
      <c r="B2672" s="11" t="s">
        <v>3007</v>
      </c>
      <c r="C2672" s="12" t="s">
        <v>3010</v>
      </c>
      <c r="D2672" s="59"/>
      <c r="E2672" s="39" t="str">
        <f>HYPERLINK("https://www.google.ru/search?q=1373997-466&amp;newwindow=1&amp;tbm=isch","Еще фото")</f>
        <v>Еще фото</v>
      </c>
      <c r="F2672" s="13"/>
      <c r="G2672" s="11" t="s">
        <v>2788</v>
      </c>
      <c r="H2672" s="11" t="s">
        <v>27</v>
      </c>
      <c r="I2672" s="14" t="s">
        <v>2784</v>
      </c>
      <c r="J2672" s="14" t="s">
        <v>47</v>
      </c>
      <c r="K2672" s="15" t="s">
        <v>30</v>
      </c>
      <c r="L2672" s="56"/>
      <c r="M2672" s="14"/>
      <c r="N2672" s="14" t="s">
        <v>91</v>
      </c>
      <c r="O2672" s="14"/>
      <c r="P2672" s="15" t="s">
        <v>2856</v>
      </c>
      <c r="Q2672" s="16">
        <v>3799</v>
      </c>
      <c r="R2672" s="17">
        <v>40</v>
      </c>
      <c r="S2672" s="18">
        <v>2621.31</v>
      </c>
      <c r="T2672" s="19" t="s">
        <v>36</v>
      </c>
      <c r="U2672" s="20" t="s">
        <v>37</v>
      </c>
      <c r="V2672" s="21" t="s">
        <v>38</v>
      </c>
      <c r="W2672" s="22">
        <v>3</v>
      </c>
      <c r="X2672" s="23"/>
    </row>
    <row r="2673" spans="1:24" s="1" customFormat="1" ht="60.95" customHeight="1" x14ac:dyDescent="0.3">
      <c r="A2673" s="24" t="s">
        <v>23</v>
      </c>
      <c r="B2673" s="24" t="s">
        <v>3007</v>
      </c>
      <c r="C2673" s="12" t="s">
        <v>3010</v>
      </c>
      <c r="D2673" s="60"/>
      <c r="E2673" s="39" t="str">
        <f>HYPERLINK("https://www.google.ru/search?q=1373997-466&amp;newwindow=1&amp;tbm=isch","Еще фото")</f>
        <v>Еще фото</v>
      </c>
      <c r="F2673" s="13"/>
      <c r="G2673" s="24" t="s">
        <v>2788</v>
      </c>
      <c r="H2673" s="24" t="s">
        <v>27</v>
      </c>
      <c r="I2673" s="24" t="s">
        <v>2784</v>
      </c>
      <c r="J2673" s="14" t="s">
        <v>47</v>
      </c>
      <c r="K2673" s="15" t="s">
        <v>30</v>
      </c>
      <c r="L2673" s="58"/>
      <c r="M2673" s="14"/>
      <c r="N2673" s="14" t="s">
        <v>91</v>
      </c>
      <c r="O2673" s="14"/>
      <c r="P2673" s="15" t="s">
        <v>2856</v>
      </c>
      <c r="Q2673" s="16">
        <v>3799</v>
      </c>
      <c r="R2673" s="17">
        <v>40</v>
      </c>
      <c r="S2673" s="18">
        <v>2621.31</v>
      </c>
      <c r="T2673" s="19" t="s">
        <v>36</v>
      </c>
      <c r="U2673" s="20" t="s">
        <v>43</v>
      </c>
      <c r="V2673" s="21" t="s">
        <v>44</v>
      </c>
      <c r="W2673" s="22">
        <v>2</v>
      </c>
      <c r="X2673" s="23"/>
    </row>
    <row r="2674" spans="1:24" s="1" customFormat="1" ht="108" customHeight="1" x14ac:dyDescent="0.3">
      <c r="A2674" s="11" t="s">
        <v>23</v>
      </c>
      <c r="B2674" s="11" t="s">
        <v>3011</v>
      </c>
      <c r="C2674" s="12" t="s">
        <v>3012</v>
      </c>
      <c r="D2674" s="25"/>
      <c r="E2674" s="39" t="str">
        <f>HYPERLINK("https://www.google.ru/search?q=1374847-505&amp;newwindow=1&amp;tbm=isch","Еще фото")</f>
        <v>Еще фото</v>
      </c>
      <c r="F2674" s="13"/>
      <c r="G2674" s="11" t="s">
        <v>2783</v>
      </c>
      <c r="H2674" s="11" t="s">
        <v>27</v>
      </c>
      <c r="I2674" s="14" t="s">
        <v>2784</v>
      </c>
      <c r="J2674" s="14" t="s">
        <v>29</v>
      </c>
      <c r="K2674" s="15" t="s">
        <v>30</v>
      </c>
      <c r="L2674" s="14" t="s">
        <v>3013</v>
      </c>
      <c r="M2674" s="14"/>
      <c r="N2674" s="14" t="s">
        <v>67</v>
      </c>
      <c r="O2674" s="14"/>
      <c r="P2674" s="15" t="s">
        <v>2601</v>
      </c>
      <c r="Q2674" s="16">
        <v>8399</v>
      </c>
      <c r="R2674" s="17">
        <v>40</v>
      </c>
      <c r="S2674" s="18">
        <v>5795.3099999999995</v>
      </c>
      <c r="T2674" s="19" t="s">
        <v>36</v>
      </c>
      <c r="U2674" s="20" t="s">
        <v>39</v>
      </c>
      <c r="V2674" s="21" t="s">
        <v>40</v>
      </c>
      <c r="W2674" s="22">
        <v>3</v>
      </c>
      <c r="X2674" s="23"/>
    </row>
    <row r="2675" spans="1:24" s="1" customFormat="1" ht="108" customHeight="1" x14ac:dyDescent="0.3">
      <c r="A2675" s="11" t="s">
        <v>23</v>
      </c>
      <c r="B2675" s="11" t="s">
        <v>2864</v>
      </c>
      <c r="C2675" s="12" t="s">
        <v>3014</v>
      </c>
      <c r="D2675" s="25"/>
      <c r="E2675" s="39" t="str">
        <f>HYPERLINK("https://www.google.ru/search?q=1375692-323&amp;newwindow=1&amp;tbm=isch","Еще фото")</f>
        <v>Еще фото</v>
      </c>
      <c r="F2675" s="13" t="s">
        <v>98</v>
      </c>
      <c r="G2675" s="11" t="s">
        <v>2788</v>
      </c>
      <c r="H2675" s="11" t="s">
        <v>27</v>
      </c>
      <c r="I2675" s="14" t="s">
        <v>2784</v>
      </c>
      <c r="J2675" s="14" t="s">
        <v>29</v>
      </c>
      <c r="K2675" s="15" t="s">
        <v>30</v>
      </c>
      <c r="L2675" s="14" t="s">
        <v>2866</v>
      </c>
      <c r="M2675" s="14"/>
      <c r="N2675" s="14" t="s">
        <v>125</v>
      </c>
      <c r="O2675" s="14"/>
      <c r="P2675" s="15" t="s">
        <v>2867</v>
      </c>
      <c r="Q2675" s="16">
        <v>6799</v>
      </c>
      <c r="R2675" s="17">
        <v>40</v>
      </c>
      <c r="S2675" s="18">
        <v>4691.3099999999995</v>
      </c>
      <c r="T2675" s="19" t="s">
        <v>36</v>
      </c>
      <c r="U2675" s="20" t="s">
        <v>37</v>
      </c>
      <c r="V2675" s="21" t="s">
        <v>38</v>
      </c>
      <c r="W2675" s="22">
        <v>4</v>
      </c>
      <c r="X2675" s="23"/>
    </row>
    <row r="2676" spans="1:24" s="1" customFormat="1" ht="12.95" customHeight="1" x14ac:dyDescent="0.3">
      <c r="A2676" s="11" t="s">
        <v>23</v>
      </c>
      <c r="B2676" s="11" t="s">
        <v>2931</v>
      </c>
      <c r="C2676" s="12" t="s">
        <v>3015</v>
      </c>
      <c r="D2676" s="53"/>
      <c r="E2676" s="39" t="str">
        <f t="shared" ref="E2676:E2683" si="54">HYPERLINK("https://www.google.ru/search?q=1378677-428&amp;newwindow=1&amp;tbm=isch","Еще фото")</f>
        <v>Еще фото</v>
      </c>
      <c r="F2676" s="13"/>
      <c r="G2676" s="11" t="s">
        <v>2804</v>
      </c>
      <c r="H2676" s="11" t="s">
        <v>27</v>
      </c>
      <c r="I2676" s="14" t="s">
        <v>2784</v>
      </c>
      <c r="J2676" s="14" t="s">
        <v>212</v>
      </c>
      <c r="K2676" s="15" t="s">
        <v>30</v>
      </c>
      <c r="L2676" s="56"/>
      <c r="M2676" s="14"/>
      <c r="N2676" s="14" t="s">
        <v>50</v>
      </c>
      <c r="O2676" s="14"/>
      <c r="P2676" s="15" t="s">
        <v>3016</v>
      </c>
      <c r="Q2676" s="16">
        <v>6199</v>
      </c>
      <c r="R2676" s="17">
        <v>40</v>
      </c>
      <c r="S2676" s="18">
        <v>4277.3099999999995</v>
      </c>
      <c r="T2676" s="19" t="s">
        <v>36</v>
      </c>
      <c r="U2676" s="35" t="s">
        <v>37</v>
      </c>
      <c r="V2676" s="21" t="s">
        <v>38</v>
      </c>
      <c r="W2676" s="22">
        <v>1</v>
      </c>
      <c r="X2676" s="23"/>
    </row>
    <row r="2677" spans="1:24" s="1" customFormat="1" ht="12.95" customHeight="1" x14ac:dyDescent="0.3">
      <c r="A2677" s="24" t="s">
        <v>23</v>
      </c>
      <c r="B2677" s="24" t="s">
        <v>2931</v>
      </c>
      <c r="C2677" s="12" t="s">
        <v>3015</v>
      </c>
      <c r="D2677" s="54"/>
      <c r="E2677" s="39" t="str">
        <f t="shared" si="54"/>
        <v>Еще фото</v>
      </c>
      <c r="F2677" s="13"/>
      <c r="G2677" s="24" t="s">
        <v>2804</v>
      </c>
      <c r="H2677" s="24" t="s">
        <v>27</v>
      </c>
      <c r="I2677" s="24" t="s">
        <v>2784</v>
      </c>
      <c r="J2677" s="14" t="s">
        <v>212</v>
      </c>
      <c r="K2677" s="15" t="s">
        <v>30</v>
      </c>
      <c r="L2677" s="57"/>
      <c r="M2677" s="14"/>
      <c r="N2677" s="14" t="s">
        <v>50</v>
      </c>
      <c r="O2677" s="14"/>
      <c r="P2677" s="15" t="s">
        <v>3016</v>
      </c>
      <c r="Q2677" s="16">
        <v>6199</v>
      </c>
      <c r="R2677" s="17">
        <v>40</v>
      </c>
      <c r="S2677" s="18">
        <v>4277.3099999999995</v>
      </c>
      <c r="T2677" s="19" t="s">
        <v>36</v>
      </c>
      <c r="U2677" s="20" t="s">
        <v>39</v>
      </c>
      <c r="V2677" s="21" t="s">
        <v>40</v>
      </c>
      <c r="W2677" s="22">
        <v>12</v>
      </c>
      <c r="X2677" s="23"/>
    </row>
    <row r="2678" spans="1:24" s="1" customFormat="1" ht="12.95" customHeight="1" x14ac:dyDescent="0.3">
      <c r="A2678" s="24" t="s">
        <v>23</v>
      </c>
      <c r="B2678" s="24" t="s">
        <v>2931</v>
      </c>
      <c r="C2678" s="12" t="s">
        <v>3015</v>
      </c>
      <c r="D2678" s="54"/>
      <c r="E2678" s="39" t="str">
        <f t="shared" si="54"/>
        <v>Еще фото</v>
      </c>
      <c r="F2678" s="13"/>
      <c r="G2678" s="24" t="s">
        <v>2804</v>
      </c>
      <c r="H2678" s="24" t="s">
        <v>27</v>
      </c>
      <c r="I2678" s="24" t="s">
        <v>2784</v>
      </c>
      <c r="J2678" s="14" t="s">
        <v>212</v>
      </c>
      <c r="K2678" s="15" t="s">
        <v>30</v>
      </c>
      <c r="L2678" s="57"/>
      <c r="M2678" s="14"/>
      <c r="N2678" s="14" t="s">
        <v>50</v>
      </c>
      <c r="O2678" s="14"/>
      <c r="P2678" s="15" t="s">
        <v>3016</v>
      </c>
      <c r="Q2678" s="16">
        <v>6199</v>
      </c>
      <c r="R2678" s="17">
        <v>40</v>
      </c>
      <c r="S2678" s="18">
        <v>4277.3099999999995</v>
      </c>
      <c r="T2678" s="19" t="s">
        <v>36</v>
      </c>
      <c r="U2678" s="20" t="s">
        <v>41</v>
      </c>
      <c r="V2678" s="21" t="s">
        <v>42</v>
      </c>
      <c r="W2678" s="22">
        <v>1</v>
      </c>
      <c r="X2678" s="23"/>
    </row>
    <row r="2679" spans="1:24" s="1" customFormat="1" ht="12.95" customHeight="1" x14ac:dyDescent="0.3">
      <c r="A2679" s="24" t="s">
        <v>23</v>
      </c>
      <c r="B2679" s="24" t="s">
        <v>2931</v>
      </c>
      <c r="C2679" s="12" t="s">
        <v>3015</v>
      </c>
      <c r="D2679" s="54"/>
      <c r="E2679" s="39" t="str">
        <f t="shared" si="54"/>
        <v>Еще фото</v>
      </c>
      <c r="F2679" s="13"/>
      <c r="G2679" s="24" t="s">
        <v>2804</v>
      </c>
      <c r="H2679" s="24" t="s">
        <v>27</v>
      </c>
      <c r="I2679" s="24" t="s">
        <v>2784</v>
      </c>
      <c r="J2679" s="14" t="s">
        <v>212</v>
      </c>
      <c r="K2679" s="15" t="s">
        <v>30</v>
      </c>
      <c r="L2679" s="57"/>
      <c r="M2679" s="14"/>
      <c r="N2679" s="14" t="s">
        <v>50</v>
      </c>
      <c r="O2679" s="14"/>
      <c r="P2679" s="15" t="s">
        <v>3016</v>
      </c>
      <c r="Q2679" s="16">
        <v>6199</v>
      </c>
      <c r="R2679" s="17">
        <v>40</v>
      </c>
      <c r="S2679" s="18">
        <v>4277.3099999999995</v>
      </c>
      <c r="T2679" s="19" t="s">
        <v>36</v>
      </c>
      <c r="U2679" s="20" t="s">
        <v>43</v>
      </c>
      <c r="V2679" s="21" t="s">
        <v>44</v>
      </c>
      <c r="W2679" s="22">
        <v>3</v>
      </c>
      <c r="X2679" s="23"/>
    </row>
    <row r="2680" spans="1:24" s="1" customFormat="1" ht="12.95" customHeight="1" x14ac:dyDescent="0.3">
      <c r="A2680" s="24" t="s">
        <v>23</v>
      </c>
      <c r="B2680" s="24" t="s">
        <v>2931</v>
      </c>
      <c r="C2680" s="12" t="s">
        <v>3015</v>
      </c>
      <c r="D2680" s="54"/>
      <c r="E2680" s="39" t="str">
        <f t="shared" si="54"/>
        <v>Еще фото</v>
      </c>
      <c r="F2680" s="13"/>
      <c r="G2680" s="24" t="s">
        <v>2804</v>
      </c>
      <c r="H2680" s="24" t="s">
        <v>27</v>
      </c>
      <c r="I2680" s="24" t="s">
        <v>2784</v>
      </c>
      <c r="J2680" s="14" t="s">
        <v>212</v>
      </c>
      <c r="K2680" s="15" t="s">
        <v>30</v>
      </c>
      <c r="L2680" s="57"/>
      <c r="M2680" s="14"/>
      <c r="N2680" s="14" t="s">
        <v>50</v>
      </c>
      <c r="O2680" s="14"/>
      <c r="P2680" s="15" t="s">
        <v>3016</v>
      </c>
      <c r="Q2680" s="16">
        <v>6199</v>
      </c>
      <c r="R2680" s="17">
        <v>40</v>
      </c>
      <c r="S2680" s="18">
        <v>4277.3099999999995</v>
      </c>
      <c r="T2680" s="19" t="s">
        <v>36</v>
      </c>
      <c r="U2680" s="20" t="s">
        <v>104</v>
      </c>
      <c r="V2680" s="21" t="s">
        <v>105</v>
      </c>
      <c r="W2680" s="22">
        <v>1</v>
      </c>
      <c r="X2680" s="23"/>
    </row>
    <row r="2681" spans="1:24" s="1" customFormat="1" ht="12.95" customHeight="1" x14ac:dyDescent="0.3">
      <c r="A2681" s="24" t="s">
        <v>23</v>
      </c>
      <c r="B2681" s="24" t="s">
        <v>2931</v>
      </c>
      <c r="C2681" s="12" t="s">
        <v>3015</v>
      </c>
      <c r="D2681" s="54"/>
      <c r="E2681" s="39" t="str">
        <f t="shared" si="54"/>
        <v>Еще фото</v>
      </c>
      <c r="F2681" s="13"/>
      <c r="G2681" s="24" t="s">
        <v>2804</v>
      </c>
      <c r="H2681" s="24" t="s">
        <v>27</v>
      </c>
      <c r="I2681" s="24" t="s">
        <v>2784</v>
      </c>
      <c r="J2681" s="14" t="s">
        <v>212</v>
      </c>
      <c r="K2681" s="15" t="s">
        <v>30</v>
      </c>
      <c r="L2681" s="57"/>
      <c r="M2681" s="14"/>
      <c r="N2681" s="14" t="s">
        <v>50</v>
      </c>
      <c r="O2681" s="14"/>
      <c r="P2681" s="15" t="s">
        <v>3016</v>
      </c>
      <c r="Q2681" s="16">
        <v>6199</v>
      </c>
      <c r="R2681" s="17">
        <v>40</v>
      </c>
      <c r="S2681" s="18">
        <v>4277.3099999999995</v>
      </c>
      <c r="T2681" s="19" t="s">
        <v>36</v>
      </c>
      <c r="U2681" s="20" t="s">
        <v>92</v>
      </c>
      <c r="V2681" s="21" t="s">
        <v>93</v>
      </c>
      <c r="W2681" s="22">
        <v>1</v>
      </c>
      <c r="X2681" s="23"/>
    </row>
    <row r="2682" spans="1:24" s="1" customFormat="1" ht="12.95" customHeight="1" x14ac:dyDescent="0.3">
      <c r="A2682" s="24" t="s">
        <v>23</v>
      </c>
      <c r="B2682" s="24" t="s">
        <v>2931</v>
      </c>
      <c r="C2682" s="12" t="s">
        <v>3015</v>
      </c>
      <c r="D2682" s="54"/>
      <c r="E2682" s="39" t="str">
        <f t="shared" si="54"/>
        <v>Еще фото</v>
      </c>
      <c r="F2682" s="13"/>
      <c r="G2682" s="24" t="s">
        <v>2804</v>
      </c>
      <c r="H2682" s="24" t="s">
        <v>27</v>
      </c>
      <c r="I2682" s="24" t="s">
        <v>2784</v>
      </c>
      <c r="J2682" s="14" t="s">
        <v>212</v>
      </c>
      <c r="K2682" s="15" t="s">
        <v>30</v>
      </c>
      <c r="L2682" s="57"/>
      <c r="M2682" s="14"/>
      <c r="N2682" s="14" t="s">
        <v>50</v>
      </c>
      <c r="O2682" s="14"/>
      <c r="P2682" s="15" t="s">
        <v>3016</v>
      </c>
      <c r="Q2682" s="16">
        <v>6199</v>
      </c>
      <c r="R2682" s="17">
        <v>40</v>
      </c>
      <c r="S2682" s="18">
        <v>4277.3099999999995</v>
      </c>
      <c r="T2682" s="19" t="s">
        <v>36</v>
      </c>
      <c r="U2682" s="20" t="s">
        <v>94</v>
      </c>
      <c r="V2682" s="21" t="s">
        <v>95</v>
      </c>
      <c r="W2682" s="22">
        <v>4</v>
      </c>
      <c r="X2682" s="23"/>
    </row>
    <row r="2683" spans="1:24" s="1" customFormat="1" ht="18" customHeight="1" x14ac:dyDescent="0.3">
      <c r="A2683" s="24" t="s">
        <v>23</v>
      </c>
      <c r="B2683" s="24" t="s">
        <v>2931</v>
      </c>
      <c r="C2683" s="12" t="s">
        <v>3015</v>
      </c>
      <c r="D2683" s="55"/>
      <c r="E2683" s="39" t="str">
        <f t="shared" si="54"/>
        <v>Еще фото</v>
      </c>
      <c r="F2683" s="13"/>
      <c r="G2683" s="24" t="s">
        <v>2804</v>
      </c>
      <c r="H2683" s="24" t="s">
        <v>27</v>
      </c>
      <c r="I2683" s="24" t="s">
        <v>2784</v>
      </c>
      <c r="J2683" s="14" t="s">
        <v>212</v>
      </c>
      <c r="K2683" s="15" t="s">
        <v>30</v>
      </c>
      <c r="L2683" s="58"/>
      <c r="M2683" s="14"/>
      <c r="N2683" s="14" t="s">
        <v>50</v>
      </c>
      <c r="O2683" s="14"/>
      <c r="P2683" s="15" t="s">
        <v>3016</v>
      </c>
      <c r="Q2683" s="16">
        <v>6199</v>
      </c>
      <c r="R2683" s="17">
        <v>40</v>
      </c>
      <c r="S2683" s="18">
        <v>4277.3099999999995</v>
      </c>
      <c r="T2683" s="19" t="s">
        <v>36</v>
      </c>
      <c r="U2683" s="20" t="s">
        <v>732</v>
      </c>
      <c r="V2683" s="21" t="s">
        <v>733</v>
      </c>
      <c r="W2683" s="22">
        <v>1</v>
      </c>
      <c r="X2683" s="23"/>
    </row>
    <row r="2684" spans="1:24" s="1" customFormat="1" ht="108" customHeight="1" x14ac:dyDescent="0.3">
      <c r="A2684" s="11" t="s">
        <v>23</v>
      </c>
      <c r="B2684" s="11" t="s">
        <v>3017</v>
      </c>
      <c r="C2684" s="12" t="s">
        <v>3018</v>
      </c>
      <c r="D2684" s="25"/>
      <c r="E2684" s="39" t="str">
        <f>HYPERLINK("https://www.google.ru/search?q=1379149-467&amp;newwindow=1&amp;tbm=isch","Еще фото")</f>
        <v>Еще фото</v>
      </c>
      <c r="F2684" s="13"/>
      <c r="G2684" s="11" t="s">
        <v>2788</v>
      </c>
      <c r="H2684" s="11" t="s">
        <v>27</v>
      </c>
      <c r="I2684" s="14" t="s">
        <v>2784</v>
      </c>
      <c r="J2684" s="14" t="s">
        <v>29</v>
      </c>
      <c r="K2684" s="15" t="s">
        <v>64</v>
      </c>
      <c r="L2684" s="14" t="s">
        <v>3019</v>
      </c>
      <c r="M2684" s="14"/>
      <c r="N2684" s="14" t="s">
        <v>91</v>
      </c>
      <c r="O2684" s="14"/>
      <c r="P2684" s="15" t="s">
        <v>2913</v>
      </c>
      <c r="Q2684" s="16">
        <v>5899</v>
      </c>
      <c r="R2684" s="17">
        <v>40</v>
      </c>
      <c r="S2684" s="18">
        <v>4070.31</v>
      </c>
      <c r="T2684" s="19" t="s">
        <v>36</v>
      </c>
      <c r="U2684" s="20" t="s">
        <v>39</v>
      </c>
      <c r="V2684" s="21" t="s">
        <v>38</v>
      </c>
      <c r="W2684" s="22">
        <v>2</v>
      </c>
      <c r="X2684" s="23"/>
    </row>
    <row r="2685" spans="1:24" s="1" customFormat="1" ht="108" customHeight="1" x14ac:dyDescent="0.3">
      <c r="A2685" s="11" t="s">
        <v>23</v>
      </c>
      <c r="B2685" s="11" t="s">
        <v>3020</v>
      </c>
      <c r="C2685" s="12" t="s">
        <v>3021</v>
      </c>
      <c r="D2685" s="25"/>
      <c r="E2685" s="39" t="str">
        <f>HYPERLINK("https://www.google.ru/search?q=1379153-001&amp;newwindow=1&amp;tbm=isch","Еще фото")</f>
        <v>Еще фото</v>
      </c>
      <c r="F2685" s="13"/>
      <c r="G2685" s="11" t="s">
        <v>2862</v>
      </c>
      <c r="H2685" s="11" t="s">
        <v>27</v>
      </c>
      <c r="I2685" s="14" t="s">
        <v>2784</v>
      </c>
      <c r="J2685" s="14" t="s">
        <v>29</v>
      </c>
      <c r="K2685" s="15" t="s">
        <v>64</v>
      </c>
      <c r="L2685" s="14" t="s">
        <v>3022</v>
      </c>
      <c r="M2685" s="14"/>
      <c r="N2685" s="14" t="s">
        <v>33</v>
      </c>
      <c r="O2685" s="14"/>
      <c r="P2685" s="15" t="s">
        <v>2533</v>
      </c>
      <c r="Q2685" s="16">
        <v>5799</v>
      </c>
      <c r="R2685" s="17">
        <v>40</v>
      </c>
      <c r="S2685" s="18">
        <v>4001.31</v>
      </c>
      <c r="T2685" s="19" t="s">
        <v>36</v>
      </c>
      <c r="U2685" s="20" t="s">
        <v>69</v>
      </c>
      <c r="V2685" s="21" t="s">
        <v>70</v>
      </c>
      <c r="W2685" s="22">
        <v>3</v>
      </c>
      <c r="X2685" s="23"/>
    </row>
    <row r="2686" spans="1:24" s="1" customFormat="1" ht="35.1" customHeight="1" x14ac:dyDescent="0.3">
      <c r="A2686" s="11" t="s">
        <v>23</v>
      </c>
      <c r="B2686" s="11" t="s">
        <v>3020</v>
      </c>
      <c r="C2686" s="12" t="s">
        <v>3023</v>
      </c>
      <c r="D2686" s="53"/>
      <c r="E2686" s="39" t="str">
        <f>HYPERLINK("https://www.google.ru/search?q=1379153-203&amp;newwindow=1&amp;tbm=isch","Еще фото")</f>
        <v>Еще фото</v>
      </c>
      <c r="F2686" s="13"/>
      <c r="G2686" s="11" t="s">
        <v>2862</v>
      </c>
      <c r="H2686" s="11" t="s">
        <v>27</v>
      </c>
      <c r="I2686" s="14" t="s">
        <v>2784</v>
      </c>
      <c r="J2686" s="14" t="s">
        <v>29</v>
      </c>
      <c r="K2686" s="15" t="s">
        <v>64</v>
      </c>
      <c r="L2686" s="56" t="s">
        <v>3022</v>
      </c>
      <c r="M2686" s="14"/>
      <c r="N2686" s="14" t="s">
        <v>215</v>
      </c>
      <c r="O2686" s="14"/>
      <c r="P2686" s="15" t="s">
        <v>779</v>
      </c>
      <c r="Q2686" s="16">
        <v>5799</v>
      </c>
      <c r="R2686" s="17">
        <v>40</v>
      </c>
      <c r="S2686" s="18">
        <v>4001.31</v>
      </c>
      <c r="T2686" s="19" t="s">
        <v>36</v>
      </c>
      <c r="U2686" s="20" t="s">
        <v>69</v>
      </c>
      <c r="V2686" s="21" t="s">
        <v>70</v>
      </c>
      <c r="W2686" s="22">
        <v>9</v>
      </c>
      <c r="X2686" s="23"/>
    </row>
    <row r="2687" spans="1:24" s="1" customFormat="1" ht="35.1" customHeight="1" x14ac:dyDescent="0.3">
      <c r="A2687" s="24" t="s">
        <v>23</v>
      </c>
      <c r="B2687" s="24" t="s">
        <v>3020</v>
      </c>
      <c r="C2687" s="12" t="s">
        <v>3023</v>
      </c>
      <c r="D2687" s="54"/>
      <c r="E2687" s="39" t="str">
        <f>HYPERLINK("https://www.google.ru/search?q=1379153-203&amp;newwindow=1&amp;tbm=isch","Еще фото")</f>
        <v>Еще фото</v>
      </c>
      <c r="F2687" s="13"/>
      <c r="G2687" s="24" t="s">
        <v>2862</v>
      </c>
      <c r="H2687" s="24" t="s">
        <v>27</v>
      </c>
      <c r="I2687" s="24" t="s">
        <v>2784</v>
      </c>
      <c r="J2687" s="14" t="s">
        <v>29</v>
      </c>
      <c r="K2687" s="15" t="s">
        <v>64</v>
      </c>
      <c r="L2687" s="57"/>
      <c r="M2687" s="14"/>
      <c r="N2687" s="14" t="s">
        <v>215</v>
      </c>
      <c r="O2687" s="14"/>
      <c r="P2687" s="15" t="s">
        <v>779</v>
      </c>
      <c r="Q2687" s="16">
        <v>5799</v>
      </c>
      <c r="R2687" s="17">
        <v>40</v>
      </c>
      <c r="S2687" s="18">
        <v>4001.31</v>
      </c>
      <c r="T2687" s="19" t="s">
        <v>36</v>
      </c>
      <c r="U2687" s="20" t="s">
        <v>39</v>
      </c>
      <c r="V2687" s="21" t="s">
        <v>38</v>
      </c>
      <c r="W2687" s="22">
        <v>1</v>
      </c>
      <c r="X2687" s="23"/>
    </row>
    <row r="2688" spans="1:24" s="1" customFormat="1" ht="36.950000000000003" customHeight="1" x14ac:dyDescent="0.3">
      <c r="A2688" s="24" t="s">
        <v>23</v>
      </c>
      <c r="B2688" s="24" t="s">
        <v>3020</v>
      </c>
      <c r="C2688" s="12" t="s">
        <v>3023</v>
      </c>
      <c r="D2688" s="55"/>
      <c r="E2688" s="39" t="str">
        <f>HYPERLINK("https://www.google.ru/search?q=1379153-203&amp;newwindow=1&amp;tbm=isch","Еще фото")</f>
        <v>Еще фото</v>
      </c>
      <c r="F2688" s="13"/>
      <c r="G2688" s="24" t="s">
        <v>2862</v>
      </c>
      <c r="H2688" s="24" t="s">
        <v>27</v>
      </c>
      <c r="I2688" s="24" t="s">
        <v>2784</v>
      </c>
      <c r="J2688" s="14" t="s">
        <v>29</v>
      </c>
      <c r="K2688" s="15" t="s">
        <v>64</v>
      </c>
      <c r="L2688" s="58"/>
      <c r="M2688" s="14"/>
      <c r="N2688" s="14" t="s">
        <v>215</v>
      </c>
      <c r="O2688" s="14"/>
      <c r="P2688" s="15" t="s">
        <v>779</v>
      </c>
      <c r="Q2688" s="16">
        <v>5799</v>
      </c>
      <c r="R2688" s="17">
        <v>40</v>
      </c>
      <c r="S2688" s="18">
        <v>4001.31</v>
      </c>
      <c r="T2688" s="19" t="s">
        <v>36</v>
      </c>
      <c r="U2688" s="20" t="s">
        <v>41</v>
      </c>
      <c r="V2688" s="21" t="s">
        <v>40</v>
      </c>
      <c r="W2688" s="22">
        <v>4</v>
      </c>
      <c r="X2688" s="23"/>
    </row>
    <row r="2689" spans="1:24" s="1" customFormat="1" ht="51.95" customHeight="1" x14ac:dyDescent="0.3">
      <c r="A2689" s="11" t="s">
        <v>23</v>
      </c>
      <c r="B2689" s="11" t="s">
        <v>2822</v>
      </c>
      <c r="C2689" s="12" t="s">
        <v>3024</v>
      </c>
      <c r="D2689" s="59"/>
      <c r="E2689" s="39" t="str">
        <f>HYPERLINK("https://www.google.ru/search?q=1379178-452&amp;newwindow=1&amp;tbm=isch","Еще фото")</f>
        <v>Еще фото</v>
      </c>
      <c r="F2689" s="13"/>
      <c r="G2689" s="11" t="s">
        <v>2788</v>
      </c>
      <c r="H2689" s="11" t="s">
        <v>27</v>
      </c>
      <c r="I2689" s="14" t="s">
        <v>2784</v>
      </c>
      <c r="J2689" s="14" t="s">
        <v>29</v>
      </c>
      <c r="K2689" s="15" t="s">
        <v>64</v>
      </c>
      <c r="L2689" s="56" t="s">
        <v>2824</v>
      </c>
      <c r="M2689" s="14" t="s">
        <v>256</v>
      </c>
      <c r="N2689" s="14" t="s">
        <v>91</v>
      </c>
      <c r="O2689" s="14"/>
      <c r="P2689" s="15" t="s">
        <v>185</v>
      </c>
      <c r="Q2689" s="16">
        <v>2999</v>
      </c>
      <c r="R2689" s="17">
        <v>40</v>
      </c>
      <c r="S2689" s="18">
        <v>2069.31</v>
      </c>
      <c r="T2689" s="19" t="s">
        <v>36</v>
      </c>
      <c r="U2689" s="20" t="s">
        <v>69</v>
      </c>
      <c r="V2689" s="21" t="s">
        <v>70</v>
      </c>
      <c r="W2689" s="22">
        <v>2</v>
      </c>
      <c r="X2689" s="23"/>
    </row>
    <row r="2690" spans="1:24" s="1" customFormat="1" ht="60.95" customHeight="1" x14ac:dyDescent="0.3">
      <c r="A2690" s="24" t="s">
        <v>23</v>
      </c>
      <c r="B2690" s="24" t="s">
        <v>2822</v>
      </c>
      <c r="C2690" s="12" t="s">
        <v>3024</v>
      </c>
      <c r="D2690" s="60"/>
      <c r="E2690" s="39" t="str">
        <f>HYPERLINK("https://www.google.ru/search?q=1379178-452&amp;newwindow=1&amp;tbm=isch","Еще фото")</f>
        <v>Еще фото</v>
      </c>
      <c r="F2690" s="13"/>
      <c r="G2690" s="24" t="s">
        <v>2788</v>
      </c>
      <c r="H2690" s="24" t="s">
        <v>27</v>
      </c>
      <c r="I2690" s="24" t="s">
        <v>2784</v>
      </c>
      <c r="J2690" s="14" t="s">
        <v>29</v>
      </c>
      <c r="K2690" s="15" t="s">
        <v>64</v>
      </c>
      <c r="L2690" s="58"/>
      <c r="M2690" s="14" t="s">
        <v>256</v>
      </c>
      <c r="N2690" s="14" t="s">
        <v>91</v>
      </c>
      <c r="O2690" s="14"/>
      <c r="P2690" s="15" t="s">
        <v>185</v>
      </c>
      <c r="Q2690" s="16">
        <v>2999</v>
      </c>
      <c r="R2690" s="17">
        <v>40</v>
      </c>
      <c r="S2690" s="18">
        <v>2069.31</v>
      </c>
      <c r="T2690" s="19" t="s">
        <v>36</v>
      </c>
      <c r="U2690" s="20" t="s">
        <v>41</v>
      </c>
      <c r="V2690" s="21" t="s">
        <v>40</v>
      </c>
      <c r="W2690" s="22">
        <v>1</v>
      </c>
      <c r="X2690" s="23"/>
    </row>
    <row r="2691" spans="1:24" s="1" customFormat="1" ht="108" customHeight="1" x14ac:dyDescent="0.3">
      <c r="A2691" s="11" t="s">
        <v>23</v>
      </c>
      <c r="B2691" s="11" t="s">
        <v>3025</v>
      </c>
      <c r="C2691" s="12" t="s">
        <v>3026</v>
      </c>
      <c r="D2691" s="25"/>
      <c r="E2691" s="39" t="str">
        <f>HYPERLINK("https://www.google.ru/search?q=1382436-100&amp;newwindow=1&amp;tbm=isch","Еще фото")</f>
        <v>Еще фото</v>
      </c>
      <c r="F2691" s="13"/>
      <c r="G2691" s="11" t="s">
        <v>2862</v>
      </c>
      <c r="H2691" s="11" t="s">
        <v>27</v>
      </c>
      <c r="I2691" s="14" t="s">
        <v>2784</v>
      </c>
      <c r="J2691" s="14" t="s">
        <v>29</v>
      </c>
      <c r="K2691" s="15" t="s">
        <v>64</v>
      </c>
      <c r="L2691" s="14" t="s">
        <v>3027</v>
      </c>
      <c r="M2691" s="14"/>
      <c r="N2691" s="14" t="s">
        <v>74</v>
      </c>
      <c r="O2691" s="14"/>
      <c r="P2691" s="15" t="s">
        <v>3028</v>
      </c>
      <c r="Q2691" s="16">
        <v>3199</v>
      </c>
      <c r="R2691" s="17">
        <v>40</v>
      </c>
      <c r="S2691" s="18">
        <v>2207.31</v>
      </c>
      <c r="T2691" s="19" t="s">
        <v>36</v>
      </c>
      <c r="U2691" s="20" t="s">
        <v>69</v>
      </c>
      <c r="V2691" s="21" t="s">
        <v>70</v>
      </c>
      <c r="W2691" s="22">
        <v>3</v>
      </c>
      <c r="X2691" s="23"/>
    </row>
    <row r="2692" spans="1:24" s="1" customFormat="1" ht="51.95" customHeight="1" x14ac:dyDescent="0.3">
      <c r="A2692" s="11" t="s">
        <v>23</v>
      </c>
      <c r="B2692" s="11" t="s">
        <v>3029</v>
      </c>
      <c r="C2692" s="12" t="s">
        <v>3030</v>
      </c>
      <c r="D2692" s="59"/>
      <c r="E2692" s="39" t="str">
        <f>HYPERLINK("https://www.google.ru/search?q=1382796-023&amp;newwindow=1&amp;tbm=isch","Еще фото")</f>
        <v>Еще фото</v>
      </c>
      <c r="F2692" s="13"/>
      <c r="G2692" s="11" t="s">
        <v>2788</v>
      </c>
      <c r="H2692" s="11" t="s">
        <v>27</v>
      </c>
      <c r="I2692" s="14" t="s">
        <v>2784</v>
      </c>
      <c r="J2692" s="14" t="s">
        <v>29</v>
      </c>
      <c r="K2692" s="15" t="s">
        <v>30</v>
      </c>
      <c r="L2692" s="56" t="s">
        <v>3031</v>
      </c>
      <c r="M2692" s="14"/>
      <c r="N2692" s="14" t="s">
        <v>84</v>
      </c>
      <c r="O2692" s="14"/>
      <c r="P2692" s="15" t="s">
        <v>51</v>
      </c>
      <c r="Q2692" s="16">
        <v>3499</v>
      </c>
      <c r="R2692" s="17">
        <v>40</v>
      </c>
      <c r="S2692" s="18">
        <v>2414.31</v>
      </c>
      <c r="T2692" s="19" t="s">
        <v>36</v>
      </c>
      <c r="U2692" s="20" t="s">
        <v>37</v>
      </c>
      <c r="V2692" s="21" t="s">
        <v>38</v>
      </c>
      <c r="W2692" s="22">
        <v>1</v>
      </c>
      <c r="X2692" s="23"/>
    </row>
    <row r="2693" spans="1:24" s="1" customFormat="1" ht="60.95" customHeight="1" x14ac:dyDescent="0.3">
      <c r="A2693" s="24" t="s">
        <v>23</v>
      </c>
      <c r="B2693" s="24" t="s">
        <v>3029</v>
      </c>
      <c r="C2693" s="12" t="s">
        <v>3030</v>
      </c>
      <c r="D2693" s="60"/>
      <c r="E2693" s="39" t="str">
        <f>HYPERLINK("https://www.google.ru/search?q=1382796-023&amp;newwindow=1&amp;tbm=isch","Еще фото")</f>
        <v>Еще фото</v>
      </c>
      <c r="F2693" s="13"/>
      <c r="G2693" s="24" t="s">
        <v>2788</v>
      </c>
      <c r="H2693" s="24" t="s">
        <v>27</v>
      </c>
      <c r="I2693" s="24" t="s">
        <v>2784</v>
      </c>
      <c r="J2693" s="14" t="s">
        <v>29</v>
      </c>
      <c r="K2693" s="15" t="s">
        <v>30</v>
      </c>
      <c r="L2693" s="58"/>
      <c r="M2693" s="14"/>
      <c r="N2693" s="14" t="s">
        <v>84</v>
      </c>
      <c r="O2693" s="14"/>
      <c r="P2693" s="15" t="s">
        <v>51</v>
      </c>
      <c r="Q2693" s="16">
        <v>3499</v>
      </c>
      <c r="R2693" s="17">
        <v>40</v>
      </c>
      <c r="S2693" s="18">
        <v>2414.31</v>
      </c>
      <c r="T2693" s="19" t="s">
        <v>36</v>
      </c>
      <c r="U2693" s="20" t="s">
        <v>39</v>
      </c>
      <c r="V2693" s="21" t="s">
        <v>40</v>
      </c>
      <c r="W2693" s="22">
        <v>2</v>
      </c>
      <c r="X2693" s="23"/>
    </row>
    <row r="2694" spans="1:24" s="1" customFormat="1" ht="26.1" customHeight="1" x14ac:dyDescent="0.3">
      <c r="A2694" s="11" t="s">
        <v>23</v>
      </c>
      <c r="B2694" s="11" t="s">
        <v>3029</v>
      </c>
      <c r="C2694" s="12" t="s">
        <v>3032</v>
      </c>
      <c r="D2694" s="53"/>
      <c r="E2694" s="39" t="str">
        <f>HYPERLINK("https://www.google.ru/search?q=1382796-690&amp;newwindow=1&amp;tbm=isch","Еще фото")</f>
        <v>Еще фото</v>
      </c>
      <c r="F2694" s="13" t="s">
        <v>98</v>
      </c>
      <c r="G2694" s="11" t="s">
        <v>2788</v>
      </c>
      <c r="H2694" s="11" t="s">
        <v>27</v>
      </c>
      <c r="I2694" s="14" t="s">
        <v>2784</v>
      </c>
      <c r="J2694" s="14" t="s">
        <v>29</v>
      </c>
      <c r="K2694" s="15" t="s">
        <v>30</v>
      </c>
      <c r="L2694" s="56"/>
      <c r="M2694" s="14"/>
      <c r="N2694" s="14" t="s">
        <v>140</v>
      </c>
      <c r="O2694" s="14"/>
      <c r="P2694" s="15" t="s">
        <v>51</v>
      </c>
      <c r="Q2694" s="16">
        <v>3499</v>
      </c>
      <c r="R2694" s="17">
        <v>40</v>
      </c>
      <c r="S2694" s="18">
        <v>2414.31</v>
      </c>
      <c r="T2694" s="19" t="s">
        <v>36</v>
      </c>
      <c r="U2694" s="20" t="s">
        <v>37</v>
      </c>
      <c r="V2694" s="21" t="s">
        <v>38</v>
      </c>
      <c r="W2694" s="22">
        <v>1</v>
      </c>
      <c r="X2694" s="23"/>
    </row>
    <row r="2695" spans="1:24" s="1" customFormat="1" ht="26.1" customHeight="1" x14ac:dyDescent="0.3">
      <c r="A2695" s="24" t="s">
        <v>23</v>
      </c>
      <c r="B2695" s="24" t="s">
        <v>3029</v>
      </c>
      <c r="C2695" s="12" t="s">
        <v>3032</v>
      </c>
      <c r="D2695" s="54"/>
      <c r="E2695" s="39" t="str">
        <f>HYPERLINK("https://www.google.ru/search?q=1382796-690&amp;newwindow=1&amp;tbm=isch","Еще фото")</f>
        <v>Еще фото</v>
      </c>
      <c r="F2695" s="13" t="s">
        <v>98</v>
      </c>
      <c r="G2695" s="24" t="s">
        <v>2788</v>
      </c>
      <c r="H2695" s="24" t="s">
        <v>27</v>
      </c>
      <c r="I2695" s="24" t="s">
        <v>2784</v>
      </c>
      <c r="J2695" s="14" t="s">
        <v>29</v>
      </c>
      <c r="K2695" s="15" t="s">
        <v>30</v>
      </c>
      <c r="L2695" s="57"/>
      <c r="M2695" s="14"/>
      <c r="N2695" s="14" t="s">
        <v>140</v>
      </c>
      <c r="O2695" s="14"/>
      <c r="P2695" s="15" t="s">
        <v>51</v>
      </c>
      <c r="Q2695" s="16">
        <v>3499</v>
      </c>
      <c r="R2695" s="17">
        <v>40</v>
      </c>
      <c r="S2695" s="18">
        <v>2414.31</v>
      </c>
      <c r="T2695" s="19" t="s">
        <v>36</v>
      </c>
      <c r="U2695" s="20" t="s">
        <v>39</v>
      </c>
      <c r="V2695" s="21" t="s">
        <v>40</v>
      </c>
      <c r="W2695" s="22">
        <v>1</v>
      </c>
      <c r="X2695" s="23"/>
    </row>
    <row r="2696" spans="1:24" s="1" customFormat="1" ht="26.1" customHeight="1" x14ac:dyDescent="0.3">
      <c r="A2696" s="24" t="s">
        <v>23</v>
      </c>
      <c r="B2696" s="24" t="s">
        <v>3029</v>
      </c>
      <c r="C2696" s="12" t="s">
        <v>3032</v>
      </c>
      <c r="D2696" s="54"/>
      <c r="E2696" s="39" t="str">
        <f>HYPERLINK("https://www.google.ru/search?q=1382796-690&amp;newwindow=1&amp;tbm=isch","Еще фото")</f>
        <v>Еще фото</v>
      </c>
      <c r="F2696" s="13" t="s">
        <v>98</v>
      </c>
      <c r="G2696" s="24" t="s">
        <v>2788</v>
      </c>
      <c r="H2696" s="24" t="s">
        <v>27</v>
      </c>
      <c r="I2696" s="24" t="s">
        <v>2784</v>
      </c>
      <c r="J2696" s="14" t="s">
        <v>29</v>
      </c>
      <c r="K2696" s="15" t="s">
        <v>30</v>
      </c>
      <c r="L2696" s="57"/>
      <c r="M2696" s="14"/>
      <c r="N2696" s="14" t="s">
        <v>140</v>
      </c>
      <c r="O2696" s="14"/>
      <c r="P2696" s="15" t="s">
        <v>51</v>
      </c>
      <c r="Q2696" s="16">
        <v>3499</v>
      </c>
      <c r="R2696" s="17">
        <v>40</v>
      </c>
      <c r="S2696" s="18">
        <v>2414.31</v>
      </c>
      <c r="T2696" s="19" t="s">
        <v>36</v>
      </c>
      <c r="U2696" s="20" t="s">
        <v>43</v>
      </c>
      <c r="V2696" s="21" t="s">
        <v>44</v>
      </c>
      <c r="W2696" s="22">
        <v>1</v>
      </c>
      <c r="X2696" s="23"/>
    </row>
    <row r="2697" spans="1:24" s="1" customFormat="1" ht="26.1" customHeight="1" x14ac:dyDescent="0.3">
      <c r="A2697" s="24" t="s">
        <v>23</v>
      </c>
      <c r="B2697" s="24" t="s">
        <v>3029</v>
      </c>
      <c r="C2697" s="12" t="s">
        <v>3032</v>
      </c>
      <c r="D2697" s="55"/>
      <c r="E2697" s="39" t="str">
        <f>HYPERLINK("https://www.google.ru/search?q=1382796-690&amp;newwindow=1&amp;tbm=isch","Еще фото")</f>
        <v>Еще фото</v>
      </c>
      <c r="F2697" s="13" t="s">
        <v>98</v>
      </c>
      <c r="G2697" s="24" t="s">
        <v>2788</v>
      </c>
      <c r="H2697" s="24" t="s">
        <v>27</v>
      </c>
      <c r="I2697" s="24" t="s">
        <v>2784</v>
      </c>
      <c r="J2697" s="14" t="s">
        <v>29</v>
      </c>
      <c r="K2697" s="15" t="s">
        <v>30</v>
      </c>
      <c r="L2697" s="58"/>
      <c r="M2697" s="14"/>
      <c r="N2697" s="14" t="s">
        <v>140</v>
      </c>
      <c r="O2697" s="14"/>
      <c r="P2697" s="15" t="s">
        <v>51</v>
      </c>
      <c r="Q2697" s="16">
        <v>3499</v>
      </c>
      <c r="R2697" s="17">
        <v>40</v>
      </c>
      <c r="S2697" s="18">
        <v>2414.31</v>
      </c>
      <c r="T2697" s="19" t="s">
        <v>36</v>
      </c>
      <c r="U2697" s="20" t="s">
        <v>104</v>
      </c>
      <c r="V2697" s="21" t="s">
        <v>105</v>
      </c>
      <c r="W2697" s="22">
        <v>3</v>
      </c>
      <c r="X2697" s="23"/>
    </row>
    <row r="2698" spans="1:24" s="1" customFormat="1" ht="35.1" customHeight="1" x14ac:dyDescent="0.3">
      <c r="A2698" s="11" t="s">
        <v>23</v>
      </c>
      <c r="B2698" s="11" t="s">
        <v>3029</v>
      </c>
      <c r="C2698" s="12" t="s">
        <v>3033</v>
      </c>
      <c r="D2698" s="53"/>
      <c r="E2698" s="39" t="str">
        <f>HYPERLINK("https://www.google.ru/search?q=1382796-712&amp;newwindow=1&amp;tbm=isch","Еще фото")</f>
        <v>Еще фото</v>
      </c>
      <c r="F2698" s="13" t="s">
        <v>98</v>
      </c>
      <c r="G2698" s="11" t="s">
        <v>2788</v>
      </c>
      <c r="H2698" s="11" t="s">
        <v>27</v>
      </c>
      <c r="I2698" s="14" t="s">
        <v>2784</v>
      </c>
      <c r="J2698" s="14" t="s">
        <v>29</v>
      </c>
      <c r="K2698" s="15" t="s">
        <v>30</v>
      </c>
      <c r="L2698" s="56"/>
      <c r="M2698" s="14"/>
      <c r="N2698" s="14" t="s">
        <v>125</v>
      </c>
      <c r="O2698" s="14"/>
      <c r="P2698" s="15" t="s">
        <v>51</v>
      </c>
      <c r="Q2698" s="16">
        <v>3499</v>
      </c>
      <c r="R2698" s="17">
        <v>40</v>
      </c>
      <c r="S2698" s="18">
        <v>2414.31</v>
      </c>
      <c r="T2698" s="19" t="s">
        <v>36</v>
      </c>
      <c r="U2698" s="20" t="s">
        <v>37</v>
      </c>
      <c r="V2698" s="21" t="s">
        <v>38</v>
      </c>
      <c r="W2698" s="22">
        <v>2</v>
      </c>
      <c r="X2698" s="23"/>
    </row>
    <row r="2699" spans="1:24" s="1" customFormat="1" ht="35.1" customHeight="1" x14ac:dyDescent="0.3">
      <c r="A2699" s="24" t="s">
        <v>23</v>
      </c>
      <c r="B2699" s="24" t="s">
        <v>3029</v>
      </c>
      <c r="C2699" s="12" t="s">
        <v>3033</v>
      </c>
      <c r="D2699" s="54"/>
      <c r="E2699" s="39" t="str">
        <f>HYPERLINK("https://www.google.ru/search?q=1382796-712&amp;newwindow=1&amp;tbm=isch","Еще фото")</f>
        <v>Еще фото</v>
      </c>
      <c r="F2699" s="13" t="s">
        <v>98</v>
      </c>
      <c r="G2699" s="24" t="s">
        <v>2788</v>
      </c>
      <c r="H2699" s="24" t="s">
        <v>27</v>
      </c>
      <c r="I2699" s="24" t="s">
        <v>2784</v>
      </c>
      <c r="J2699" s="14" t="s">
        <v>29</v>
      </c>
      <c r="K2699" s="15" t="s">
        <v>30</v>
      </c>
      <c r="L2699" s="57"/>
      <c r="M2699" s="14"/>
      <c r="N2699" s="14" t="s">
        <v>125</v>
      </c>
      <c r="O2699" s="14"/>
      <c r="P2699" s="15" t="s">
        <v>51</v>
      </c>
      <c r="Q2699" s="16">
        <v>3499</v>
      </c>
      <c r="R2699" s="17">
        <v>40</v>
      </c>
      <c r="S2699" s="18">
        <v>2414.31</v>
      </c>
      <c r="T2699" s="19" t="s">
        <v>36</v>
      </c>
      <c r="U2699" s="20" t="s">
        <v>39</v>
      </c>
      <c r="V2699" s="21" t="s">
        <v>40</v>
      </c>
      <c r="W2699" s="22">
        <v>3</v>
      </c>
      <c r="X2699" s="23"/>
    </row>
    <row r="2700" spans="1:24" s="1" customFormat="1" ht="36.950000000000003" customHeight="1" x14ac:dyDescent="0.3">
      <c r="A2700" s="24" t="s">
        <v>23</v>
      </c>
      <c r="B2700" s="24" t="s">
        <v>3029</v>
      </c>
      <c r="C2700" s="12" t="s">
        <v>3033</v>
      </c>
      <c r="D2700" s="55"/>
      <c r="E2700" s="39" t="str">
        <f>HYPERLINK("https://www.google.ru/search?q=1382796-712&amp;newwindow=1&amp;tbm=isch","Еще фото")</f>
        <v>Еще фото</v>
      </c>
      <c r="F2700" s="13" t="s">
        <v>98</v>
      </c>
      <c r="G2700" s="24" t="s">
        <v>2788</v>
      </c>
      <c r="H2700" s="24" t="s">
        <v>27</v>
      </c>
      <c r="I2700" s="24" t="s">
        <v>2784</v>
      </c>
      <c r="J2700" s="14" t="s">
        <v>29</v>
      </c>
      <c r="K2700" s="15" t="s">
        <v>30</v>
      </c>
      <c r="L2700" s="58"/>
      <c r="M2700" s="14"/>
      <c r="N2700" s="14" t="s">
        <v>125</v>
      </c>
      <c r="O2700" s="14"/>
      <c r="P2700" s="15" t="s">
        <v>51</v>
      </c>
      <c r="Q2700" s="16">
        <v>3499</v>
      </c>
      <c r="R2700" s="17">
        <v>40</v>
      </c>
      <c r="S2700" s="18">
        <v>2414.31</v>
      </c>
      <c r="T2700" s="19" t="s">
        <v>36</v>
      </c>
      <c r="U2700" s="20" t="s">
        <v>43</v>
      </c>
      <c r="V2700" s="21" t="s">
        <v>44</v>
      </c>
      <c r="W2700" s="22">
        <v>3</v>
      </c>
      <c r="X2700" s="23"/>
    </row>
    <row r="2701" spans="1:24" s="1" customFormat="1" ht="108" customHeight="1" x14ac:dyDescent="0.3">
      <c r="A2701" s="11" t="s">
        <v>23</v>
      </c>
      <c r="B2701" s="11" t="s">
        <v>2894</v>
      </c>
      <c r="C2701" s="12" t="s">
        <v>3034</v>
      </c>
      <c r="D2701" s="25"/>
      <c r="E2701" s="39" t="str">
        <f>HYPERLINK("https://www.google.ru/search?q=1382801-690&amp;newwindow=1&amp;tbm=isch","Еще фото")</f>
        <v>Еще фото</v>
      </c>
      <c r="F2701" s="13"/>
      <c r="G2701" s="11" t="s">
        <v>2788</v>
      </c>
      <c r="H2701" s="11" t="s">
        <v>27</v>
      </c>
      <c r="I2701" s="14" t="s">
        <v>2784</v>
      </c>
      <c r="J2701" s="14" t="s">
        <v>29</v>
      </c>
      <c r="K2701" s="15" t="s">
        <v>30</v>
      </c>
      <c r="L2701" s="14" t="s">
        <v>2896</v>
      </c>
      <c r="M2701" s="14"/>
      <c r="N2701" s="14" t="s">
        <v>140</v>
      </c>
      <c r="O2701" s="14"/>
      <c r="P2701" s="15" t="s">
        <v>2897</v>
      </c>
      <c r="Q2701" s="16">
        <v>4999</v>
      </c>
      <c r="R2701" s="17">
        <v>40</v>
      </c>
      <c r="S2701" s="18">
        <v>3449.31</v>
      </c>
      <c r="T2701" s="19" t="s">
        <v>36</v>
      </c>
      <c r="U2701" s="20" t="s">
        <v>37</v>
      </c>
      <c r="V2701" s="21" t="s">
        <v>38</v>
      </c>
      <c r="W2701" s="22">
        <v>2</v>
      </c>
      <c r="X2701" s="23"/>
    </row>
    <row r="2702" spans="1:24" s="1" customFormat="1" ht="26.1" customHeight="1" x14ac:dyDescent="0.3">
      <c r="A2702" s="11" t="s">
        <v>23</v>
      </c>
      <c r="B2702" s="11" t="s">
        <v>2894</v>
      </c>
      <c r="C2702" s="12" t="s">
        <v>3035</v>
      </c>
      <c r="D2702" s="53"/>
      <c r="E2702" s="39" t="str">
        <f>HYPERLINK("https://www.google.ru/search?q=1382801-870&amp;newwindow=1&amp;tbm=isch","Еще фото")</f>
        <v>Еще фото</v>
      </c>
      <c r="F2702" s="34" t="s">
        <v>817</v>
      </c>
      <c r="G2702" s="11" t="s">
        <v>2788</v>
      </c>
      <c r="H2702" s="11" t="s">
        <v>27</v>
      </c>
      <c r="I2702" s="14" t="s">
        <v>2784</v>
      </c>
      <c r="J2702" s="14" t="s">
        <v>29</v>
      </c>
      <c r="K2702" s="15" t="s">
        <v>30</v>
      </c>
      <c r="L2702" s="56"/>
      <c r="M2702" s="14"/>
      <c r="N2702" s="14" t="s">
        <v>434</v>
      </c>
      <c r="O2702" s="14"/>
      <c r="P2702" s="15" t="s">
        <v>2897</v>
      </c>
      <c r="Q2702" s="16">
        <v>4999</v>
      </c>
      <c r="R2702" s="17">
        <v>40</v>
      </c>
      <c r="S2702" s="18">
        <v>3449.31</v>
      </c>
      <c r="T2702" s="19" t="s">
        <v>36</v>
      </c>
      <c r="U2702" s="20" t="s">
        <v>39</v>
      </c>
      <c r="V2702" s="21" t="s">
        <v>40</v>
      </c>
      <c r="W2702" s="22">
        <v>3</v>
      </c>
      <c r="X2702" s="23"/>
    </row>
    <row r="2703" spans="1:24" s="1" customFormat="1" ht="26.1" customHeight="1" x14ac:dyDescent="0.3">
      <c r="A2703" s="24" t="s">
        <v>23</v>
      </c>
      <c r="B2703" s="24" t="s">
        <v>2894</v>
      </c>
      <c r="C2703" s="12" t="s">
        <v>3035</v>
      </c>
      <c r="D2703" s="54"/>
      <c r="E2703" s="39" t="str">
        <f>HYPERLINK("https://www.google.ru/search?q=1382801-870&amp;newwindow=1&amp;tbm=isch","Еще фото")</f>
        <v>Еще фото</v>
      </c>
      <c r="F2703" s="34" t="s">
        <v>817</v>
      </c>
      <c r="G2703" s="24" t="s">
        <v>2788</v>
      </c>
      <c r="H2703" s="24" t="s">
        <v>27</v>
      </c>
      <c r="I2703" s="24" t="s">
        <v>2784</v>
      </c>
      <c r="J2703" s="14" t="s">
        <v>29</v>
      </c>
      <c r="K2703" s="15" t="s">
        <v>30</v>
      </c>
      <c r="L2703" s="57"/>
      <c r="M2703" s="14"/>
      <c r="N2703" s="14" t="s">
        <v>434</v>
      </c>
      <c r="O2703" s="14"/>
      <c r="P2703" s="15" t="s">
        <v>2897</v>
      </c>
      <c r="Q2703" s="16">
        <v>4999</v>
      </c>
      <c r="R2703" s="17">
        <v>40</v>
      </c>
      <c r="S2703" s="18">
        <v>3449.31</v>
      </c>
      <c r="T2703" s="19" t="s">
        <v>36</v>
      </c>
      <c r="U2703" s="20" t="s">
        <v>41</v>
      </c>
      <c r="V2703" s="21" t="s">
        <v>42</v>
      </c>
      <c r="W2703" s="22">
        <v>1</v>
      </c>
      <c r="X2703" s="23"/>
    </row>
    <row r="2704" spans="1:24" s="1" customFormat="1" ht="26.1" customHeight="1" x14ac:dyDescent="0.3">
      <c r="A2704" s="24" t="s">
        <v>23</v>
      </c>
      <c r="B2704" s="24" t="s">
        <v>2894</v>
      </c>
      <c r="C2704" s="12" t="s">
        <v>3035</v>
      </c>
      <c r="D2704" s="54"/>
      <c r="E2704" s="39" t="str">
        <f>HYPERLINK("https://www.google.ru/search?q=1382801-870&amp;newwindow=1&amp;tbm=isch","Еще фото")</f>
        <v>Еще фото</v>
      </c>
      <c r="F2704" s="34" t="s">
        <v>817</v>
      </c>
      <c r="G2704" s="24" t="s">
        <v>2788</v>
      </c>
      <c r="H2704" s="24" t="s">
        <v>27</v>
      </c>
      <c r="I2704" s="24" t="s">
        <v>2784</v>
      </c>
      <c r="J2704" s="14" t="s">
        <v>29</v>
      </c>
      <c r="K2704" s="15" t="s">
        <v>30</v>
      </c>
      <c r="L2704" s="57"/>
      <c r="M2704" s="14"/>
      <c r="N2704" s="14" t="s">
        <v>434</v>
      </c>
      <c r="O2704" s="14"/>
      <c r="P2704" s="15" t="s">
        <v>2897</v>
      </c>
      <c r="Q2704" s="16">
        <v>4999</v>
      </c>
      <c r="R2704" s="17">
        <v>40</v>
      </c>
      <c r="S2704" s="18">
        <v>3449.31</v>
      </c>
      <c r="T2704" s="19" t="s">
        <v>36</v>
      </c>
      <c r="U2704" s="20" t="s">
        <v>43</v>
      </c>
      <c r="V2704" s="21" t="s">
        <v>44</v>
      </c>
      <c r="W2704" s="22">
        <v>5</v>
      </c>
      <c r="X2704" s="23"/>
    </row>
    <row r="2705" spans="1:24" s="1" customFormat="1" ht="26.1" customHeight="1" x14ac:dyDescent="0.3">
      <c r="A2705" s="24" t="s">
        <v>23</v>
      </c>
      <c r="B2705" s="24" t="s">
        <v>2894</v>
      </c>
      <c r="C2705" s="12" t="s">
        <v>3035</v>
      </c>
      <c r="D2705" s="55"/>
      <c r="E2705" s="39" t="str">
        <f>HYPERLINK("https://www.google.ru/search?q=1382801-870&amp;newwindow=1&amp;tbm=isch","Еще фото")</f>
        <v>Еще фото</v>
      </c>
      <c r="F2705" s="34" t="s">
        <v>817</v>
      </c>
      <c r="G2705" s="24" t="s">
        <v>2788</v>
      </c>
      <c r="H2705" s="24" t="s">
        <v>27</v>
      </c>
      <c r="I2705" s="24" t="s">
        <v>2784</v>
      </c>
      <c r="J2705" s="14" t="s">
        <v>29</v>
      </c>
      <c r="K2705" s="15" t="s">
        <v>30</v>
      </c>
      <c r="L2705" s="58"/>
      <c r="M2705" s="14"/>
      <c r="N2705" s="14" t="s">
        <v>434</v>
      </c>
      <c r="O2705" s="14"/>
      <c r="P2705" s="15" t="s">
        <v>2897</v>
      </c>
      <c r="Q2705" s="16">
        <v>4999</v>
      </c>
      <c r="R2705" s="17">
        <v>40</v>
      </c>
      <c r="S2705" s="18">
        <v>3449.31</v>
      </c>
      <c r="T2705" s="19" t="s">
        <v>36</v>
      </c>
      <c r="U2705" s="20" t="s">
        <v>104</v>
      </c>
      <c r="V2705" s="21" t="s">
        <v>105</v>
      </c>
      <c r="W2705" s="22">
        <v>2</v>
      </c>
      <c r="X2705" s="23"/>
    </row>
    <row r="2706" spans="1:24" s="1" customFormat="1" ht="108" customHeight="1" x14ac:dyDescent="0.3">
      <c r="A2706" s="11" t="s">
        <v>23</v>
      </c>
      <c r="B2706" s="11" t="s">
        <v>3036</v>
      </c>
      <c r="C2706" s="12" t="s">
        <v>3037</v>
      </c>
      <c r="D2706" s="25"/>
      <c r="E2706" s="39" t="str">
        <f>HYPERLINK("https://www.google.ru/search?q=1382831-001&amp;newwindow=1&amp;tbm=isch","Еще фото")</f>
        <v>Еще фото</v>
      </c>
      <c r="F2706" s="13"/>
      <c r="G2706" s="11" t="s">
        <v>2788</v>
      </c>
      <c r="H2706" s="11" t="s">
        <v>27</v>
      </c>
      <c r="I2706" s="14" t="s">
        <v>2784</v>
      </c>
      <c r="J2706" s="14" t="s">
        <v>29</v>
      </c>
      <c r="K2706" s="15" t="s">
        <v>30</v>
      </c>
      <c r="L2706" s="14" t="s">
        <v>3038</v>
      </c>
      <c r="M2706" s="14"/>
      <c r="N2706" s="14" t="s">
        <v>33</v>
      </c>
      <c r="O2706" s="14"/>
      <c r="P2706" s="15" t="s">
        <v>2601</v>
      </c>
      <c r="Q2706" s="16">
        <v>4199</v>
      </c>
      <c r="R2706" s="17">
        <v>40</v>
      </c>
      <c r="S2706" s="18">
        <v>2897.31</v>
      </c>
      <c r="T2706" s="19" t="s">
        <v>36</v>
      </c>
      <c r="U2706" s="20" t="s">
        <v>39</v>
      </c>
      <c r="V2706" s="21" t="s">
        <v>40</v>
      </c>
      <c r="W2706" s="22">
        <v>1</v>
      </c>
      <c r="X2706" s="23"/>
    </row>
    <row r="2707" spans="1:24" s="1" customFormat="1" ht="35.1" customHeight="1" x14ac:dyDescent="0.3">
      <c r="A2707" s="11" t="s">
        <v>23</v>
      </c>
      <c r="B2707" s="11" t="s">
        <v>3036</v>
      </c>
      <c r="C2707" s="12" t="s">
        <v>3039</v>
      </c>
      <c r="D2707" s="53"/>
      <c r="E2707" s="39" t="str">
        <f>HYPERLINK("https://www.google.ru/search?q=1382831-338&amp;newwindow=1&amp;tbm=isch","Еще фото")</f>
        <v>Еще фото</v>
      </c>
      <c r="F2707" s="13" t="s">
        <v>98</v>
      </c>
      <c r="G2707" s="11" t="s">
        <v>2788</v>
      </c>
      <c r="H2707" s="11" t="s">
        <v>27</v>
      </c>
      <c r="I2707" s="14" t="s">
        <v>2784</v>
      </c>
      <c r="J2707" s="14" t="s">
        <v>47</v>
      </c>
      <c r="K2707" s="15" t="s">
        <v>30</v>
      </c>
      <c r="L2707" s="56" t="s">
        <v>3038</v>
      </c>
      <c r="M2707" s="14"/>
      <c r="N2707" s="14" t="s">
        <v>125</v>
      </c>
      <c r="O2707" s="14"/>
      <c r="P2707" s="15" t="s">
        <v>2856</v>
      </c>
      <c r="Q2707" s="16">
        <v>4199</v>
      </c>
      <c r="R2707" s="17">
        <v>40</v>
      </c>
      <c r="S2707" s="18">
        <v>2897.31</v>
      </c>
      <c r="T2707" s="19" t="s">
        <v>36</v>
      </c>
      <c r="U2707" s="20" t="s">
        <v>39</v>
      </c>
      <c r="V2707" s="21" t="s">
        <v>40</v>
      </c>
      <c r="W2707" s="22">
        <v>2</v>
      </c>
      <c r="X2707" s="23"/>
    </row>
    <row r="2708" spans="1:24" s="1" customFormat="1" ht="35.1" customHeight="1" x14ac:dyDescent="0.3">
      <c r="A2708" s="24" t="s">
        <v>23</v>
      </c>
      <c r="B2708" s="24" t="s">
        <v>3036</v>
      </c>
      <c r="C2708" s="12" t="s">
        <v>3039</v>
      </c>
      <c r="D2708" s="54"/>
      <c r="E2708" s="39" t="str">
        <f>HYPERLINK("https://www.google.ru/search?q=1382831-338&amp;newwindow=1&amp;tbm=isch","Еще фото")</f>
        <v>Еще фото</v>
      </c>
      <c r="F2708" s="13" t="s">
        <v>98</v>
      </c>
      <c r="G2708" s="24" t="s">
        <v>2788</v>
      </c>
      <c r="H2708" s="24" t="s">
        <v>27</v>
      </c>
      <c r="I2708" s="24" t="s">
        <v>2784</v>
      </c>
      <c r="J2708" s="14" t="s">
        <v>47</v>
      </c>
      <c r="K2708" s="15" t="s">
        <v>30</v>
      </c>
      <c r="L2708" s="57"/>
      <c r="M2708" s="14"/>
      <c r="N2708" s="14" t="s">
        <v>125</v>
      </c>
      <c r="O2708" s="14"/>
      <c r="P2708" s="15" t="s">
        <v>2856</v>
      </c>
      <c r="Q2708" s="16">
        <v>4199</v>
      </c>
      <c r="R2708" s="17">
        <v>40</v>
      </c>
      <c r="S2708" s="18">
        <v>2897.31</v>
      </c>
      <c r="T2708" s="19" t="s">
        <v>36</v>
      </c>
      <c r="U2708" s="20" t="s">
        <v>104</v>
      </c>
      <c r="V2708" s="21" t="s">
        <v>105</v>
      </c>
      <c r="W2708" s="22">
        <v>1</v>
      </c>
      <c r="X2708" s="23"/>
    </row>
    <row r="2709" spans="1:24" s="1" customFormat="1" ht="36.950000000000003" customHeight="1" x14ac:dyDescent="0.3">
      <c r="A2709" s="24" t="s">
        <v>23</v>
      </c>
      <c r="B2709" s="24" t="s">
        <v>3036</v>
      </c>
      <c r="C2709" s="12" t="s">
        <v>3039</v>
      </c>
      <c r="D2709" s="55"/>
      <c r="E2709" s="39" t="str">
        <f>HYPERLINK("https://www.google.ru/search?q=1382831-338&amp;newwindow=1&amp;tbm=isch","Еще фото")</f>
        <v>Еще фото</v>
      </c>
      <c r="F2709" s="13" t="s">
        <v>98</v>
      </c>
      <c r="G2709" s="24" t="s">
        <v>2788</v>
      </c>
      <c r="H2709" s="24" t="s">
        <v>27</v>
      </c>
      <c r="I2709" s="24" t="s">
        <v>2784</v>
      </c>
      <c r="J2709" s="14" t="s">
        <v>47</v>
      </c>
      <c r="K2709" s="15" t="s">
        <v>30</v>
      </c>
      <c r="L2709" s="58"/>
      <c r="M2709" s="14"/>
      <c r="N2709" s="14" t="s">
        <v>125</v>
      </c>
      <c r="O2709" s="14"/>
      <c r="P2709" s="15" t="s">
        <v>2856</v>
      </c>
      <c r="Q2709" s="16">
        <v>4199</v>
      </c>
      <c r="R2709" s="17">
        <v>40</v>
      </c>
      <c r="S2709" s="18">
        <v>2897.31</v>
      </c>
      <c r="T2709" s="19" t="s">
        <v>36</v>
      </c>
      <c r="U2709" s="20" t="s">
        <v>381</v>
      </c>
      <c r="V2709" s="21" t="s">
        <v>382</v>
      </c>
      <c r="W2709" s="22">
        <v>1</v>
      </c>
      <c r="X2709" s="23"/>
    </row>
    <row r="2710" spans="1:24" s="1" customFormat="1" ht="51.95" customHeight="1" x14ac:dyDescent="0.3">
      <c r="A2710" s="11" t="s">
        <v>23</v>
      </c>
      <c r="B2710" s="11" t="s">
        <v>3036</v>
      </c>
      <c r="C2710" s="12" t="s">
        <v>3040</v>
      </c>
      <c r="D2710" s="59"/>
      <c r="E2710" s="39" t="str">
        <f>HYPERLINK("https://www.google.ru/search?q=1382831-477&amp;newwindow=1&amp;tbm=isch","Еще фото")</f>
        <v>Еще фото</v>
      </c>
      <c r="F2710" s="13"/>
      <c r="G2710" s="11" t="s">
        <v>2788</v>
      </c>
      <c r="H2710" s="11" t="s">
        <v>27</v>
      </c>
      <c r="I2710" s="14" t="s">
        <v>2784</v>
      </c>
      <c r="J2710" s="14" t="s">
        <v>47</v>
      </c>
      <c r="K2710" s="15" t="s">
        <v>30</v>
      </c>
      <c r="L2710" s="56" t="s">
        <v>3041</v>
      </c>
      <c r="M2710" s="14"/>
      <c r="N2710" s="14" t="s">
        <v>50</v>
      </c>
      <c r="O2710" s="14"/>
      <c r="P2710" s="15" t="s">
        <v>2601</v>
      </c>
      <c r="Q2710" s="16">
        <v>4199</v>
      </c>
      <c r="R2710" s="17">
        <v>40</v>
      </c>
      <c r="S2710" s="18">
        <v>2897.31</v>
      </c>
      <c r="T2710" s="19" t="s">
        <v>36</v>
      </c>
      <c r="U2710" s="20" t="s">
        <v>41</v>
      </c>
      <c r="V2710" s="21" t="s">
        <v>42</v>
      </c>
      <c r="W2710" s="22">
        <v>1</v>
      </c>
      <c r="X2710" s="23"/>
    </row>
    <row r="2711" spans="1:24" s="1" customFormat="1" ht="60.95" customHeight="1" x14ac:dyDescent="0.3">
      <c r="A2711" s="24" t="s">
        <v>23</v>
      </c>
      <c r="B2711" s="24" t="s">
        <v>3036</v>
      </c>
      <c r="C2711" s="12" t="s">
        <v>3040</v>
      </c>
      <c r="D2711" s="60"/>
      <c r="E2711" s="39" t="str">
        <f>HYPERLINK("https://www.google.ru/search?q=1382831-477&amp;newwindow=1&amp;tbm=isch","Еще фото")</f>
        <v>Еще фото</v>
      </c>
      <c r="F2711" s="13"/>
      <c r="G2711" s="24" t="s">
        <v>2788</v>
      </c>
      <c r="H2711" s="24" t="s">
        <v>27</v>
      </c>
      <c r="I2711" s="24" t="s">
        <v>2784</v>
      </c>
      <c r="J2711" s="14" t="s">
        <v>47</v>
      </c>
      <c r="K2711" s="15" t="s">
        <v>30</v>
      </c>
      <c r="L2711" s="58"/>
      <c r="M2711" s="14"/>
      <c r="N2711" s="14" t="s">
        <v>50</v>
      </c>
      <c r="O2711" s="14"/>
      <c r="P2711" s="15" t="s">
        <v>2601</v>
      </c>
      <c r="Q2711" s="16">
        <v>4199</v>
      </c>
      <c r="R2711" s="17">
        <v>40</v>
      </c>
      <c r="S2711" s="18">
        <v>2897.31</v>
      </c>
      <c r="T2711" s="19" t="s">
        <v>36</v>
      </c>
      <c r="U2711" s="20" t="s">
        <v>104</v>
      </c>
      <c r="V2711" s="21" t="s">
        <v>105</v>
      </c>
      <c r="W2711" s="22">
        <v>1</v>
      </c>
      <c r="X2711" s="23"/>
    </row>
    <row r="2712" spans="1:24" s="1" customFormat="1" ht="108" customHeight="1" x14ac:dyDescent="0.3">
      <c r="A2712" s="11" t="s">
        <v>23</v>
      </c>
      <c r="B2712" s="11" t="s">
        <v>3042</v>
      </c>
      <c r="C2712" s="12" t="s">
        <v>3043</v>
      </c>
      <c r="D2712" s="25"/>
      <c r="E2712" s="39" t="str">
        <f>HYPERLINK("https://www.google.ru/search?q=1382911-587&amp;newwindow=1&amp;tbm=isch","Еще фото")</f>
        <v>Еще фото</v>
      </c>
      <c r="F2712" s="13"/>
      <c r="G2712" s="11" t="s">
        <v>2788</v>
      </c>
      <c r="H2712" s="11" t="s">
        <v>27</v>
      </c>
      <c r="I2712" s="14" t="s">
        <v>2784</v>
      </c>
      <c r="J2712" s="14" t="s">
        <v>47</v>
      </c>
      <c r="K2712" s="15" t="s">
        <v>30</v>
      </c>
      <c r="L2712" s="14" t="s">
        <v>3044</v>
      </c>
      <c r="M2712" s="14"/>
      <c r="N2712" s="14" t="s">
        <v>91</v>
      </c>
      <c r="O2712" s="14"/>
      <c r="P2712" s="15" t="s">
        <v>2601</v>
      </c>
      <c r="Q2712" s="16">
        <v>2699</v>
      </c>
      <c r="R2712" s="17">
        <v>40</v>
      </c>
      <c r="S2712" s="18">
        <v>1862.31</v>
      </c>
      <c r="T2712" s="19" t="s">
        <v>36</v>
      </c>
      <c r="U2712" s="20" t="s">
        <v>37</v>
      </c>
      <c r="V2712" s="21" t="s">
        <v>38</v>
      </c>
      <c r="W2712" s="22">
        <v>1</v>
      </c>
      <c r="X2712" s="23"/>
    </row>
    <row r="2713" spans="1:24" s="1" customFormat="1" ht="51.95" customHeight="1" x14ac:dyDescent="0.3">
      <c r="A2713" s="11" t="s">
        <v>23</v>
      </c>
      <c r="B2713" s="11" t="s">
        <v>2839</v>
      </c>
      <c r="C2713" s="12" t="s">
        <v>3045</v>
      </c>
      <c r="D2713" s="59"/>
      <c r="E2713" s="39" t="str">
        <f>HYPERLINK("https://www.google.ru/search?q=1382915-425&amp;newwindow=1&amp;tbm=isch","Еще фото")</f>
        <v>Еще фото</v>
      </c>
      <c r="F2713" s="13"/>
      <c r="G2713" s="11" t="s">
        <v>2788</v>
      </c>
      <c r="H2713" s="11" t="s">
        <v>27</v>
      </c>
      <c r="I2713" s="14" t="s">
        <v>2784</v>
      </c>
      <c r="J2713" s="14" t="s">
        <v>47</v>
      </c>
      <c r="K2713" s="15" t="s">
        <v>30</v>
      </c>
      <c r="L2713" s="56"/>
      <c r="M2713" s="14"/>
      <c r="N2713" s="14" t="s">
        <v>50</v>
      </c>
      <c r="O2713" s="14"/>
      <c r="P2713" s="15" t="s">
        <v>2601</v>
      </c>
      <c r="Q2713" s="16">
        <v>2999</v>
      </c>
      <c r="R2713" s="17">
        <v>40</v>
      </c>
      <c r="S2713" s="18">
        <v>2069.31</v>
      </c>
      <c r="T2713" s="19" t="s">
        <v>36</v>
      </c>
      <c r="U2713" s="20" t="s">
        <v>41</v>
      </c>
      <c r="V2713" s="21" t="s">
        <v>42</v>
      </c>
      <c r="W2713" s="22">
        <v>3</v>
      </c>
      <c r="X2713" s="23"/>
    </row>
    <row r="2714" spans="1:24" s="1" customFormat="1" ht="60.95" customHeight="1" x14ac:dyDescent="0.3">
      <c r="A2714" s="24" t="s">
        <v>23</v>
      </c>
      <c r="B2714" s="24" t="s">
        <v>2839</v>
      </c>
      <c r="C2714" s="12" t="s">
        <v>3045</v>
      </c>
      <c r="D2714" s="60"/>
      <c r="E2714" s="39" t="str">
        <f>HYPERLINK("https://www.google.ru/search?q=1382915-425&amp;newwindow=1&amp;tbm=isch","Еще фото")</f>
        <v>Еще фото</v>
      </c>
      <c r="F2714" s="13"/>
      <c r="G2714" s="24" t="s">
        <v>2788</v>
      </c>
      <c r="H2714" s="24" t="s">
        <v>27</v>
      </c>
      <c r="I2714" s="24" t="s">
        <v>2784</v>
      </c>
      <c r="J2714" s="14" t="s">
        <v>47</v>
      </c>
      <c r="K2714" s="15" t="s">
        <v>30</v>
      </c>
      <c r="L2714" s="58"/>
      <c r="M2714" s="14"/>
      <c r="N2714" s="14" t="s">
        <v>50</v>
      </c>
      <c r="O2714" s="14"/>
      <c r="P2714" s="15" t="s">
        <v>2601</v>
      </c>
      <c r="Q2714" s="16">
        <v>2999</v>
      </c>
      <c r="R2714" s="17">
        <v>40</v>
      </c>
      <c r="S2714" s="18">
        <v>2069.31</v>
      </c>
      <c r="T2714" s="19" t="s">
        <v>36</v>
      </c>
      <c r="U2714" s="20" t="s">
        <v>43</v>
      </c>
      <c r="V2714" s="21" t="s">
        <v>44</v>
      </c>
      <c r="W2714" s="22">
        <v>2</v>
      </c>
      <c r="X2714" s="23"/>
    </row>
    <row r="2715" spans="1:24" s="1" customFormat="1" ht="51.95" customHeight="1" x14ac:dyDescent="0.3">
      <c r="A2715" s="11" t="s">
        <v>23</v>
      </c>
      <c r="B2715" s="11" t="s">
        <v>2944</v>
      </c>
      <c r="C2715" s="12" t="s">
        <v>3046</v>
      </c>
      <c r="D2715" s="59"/>
      <c r="E2715" s="39" t="str">
        <f>HYPERLINK("https://www.google.ru/search?q=1383010-004&amp;newwindow=1&amp;tbm=isch","Еще фото")</f>
        <v>Еще фото</v>
      </c>
      <c r="F2715" s="13"/>
      <c r="G2715" s="11" t="s">
        <v>2788</v>
      </c>
      <c r="H2715" s="11" t="s">
        <v>27</v>
      </c>
      <c r="I2715" s="14" t="s">
        <v>2784</v>
      </c>
      <c r="J2715" s="14" t="s">
        <v>29</v>
      </c>
      <c r="K2715" s="15" t="s">
        <v>54</v>
      </c>
      <c r="L2715" s="56" t="s">
        <v>2946</v>
      </c>
      <c r="M2715" s="14"/>
      <c r="N2715" s="14" t="s">
        <v>33</v>
      </c>
      <c r="O2715" s="14"/>
      <c r="P2715" s="15" t="s">
        <v>51</v>
      </c>
      <c r="Q2715" s="16">
        <v>2299</v>
      </c>
      <c r="R2715" s="17">
        <v>40</v>
      </c>
      <c r="S2715" s="18">
        <v>1586.31</v>
      </c>
      <c r="T2715" s="19" t="s">
        <v>36</v>
      </c>
      <c r="U2715" s="20" t="s">
        <v>114</v>
      </c>
      <c r="V2715" s="21" t="s">
        <v>115</v>
      </c>
      <c r="W2715" s="22">
        <v>4</v>
      </c>
      <c r="X2715" s="23"/>
    </row>
    <row r="2716" spans="1:24" s="1" customFormat="1" ht="60.95" customHeight="1" x14ac:dyDescent="0.3">
      <c r="A2716" s="24" t="s">
        <v>23</v>
      </c>
      <c r="B2716" s="24" t="s">
        <v>2944</v>
      </c>
      <c r="C2716" s="12" t="s">
        <v>3046</v>
      </c>
      <c r="D2716" s="60"/>
      <c r="E2716" s="39" t="str">
        <f>HYPERLINK("https://www.google.ru/search?q=1383010-004&amp;newwindow=1&amp;tbm=isch","Еще фото")</f>
        <v>Еще фото</v>
      </c>
      <c r="F2716" s="13"/>
      <c r="G2716" s="24" t="s">
        <v>2788</v>
      </c>
      <c r="H2716" s="24" t="s">
        <v>27</v>
      </c>
      <c r="I2716" s="24" t="s">
        <v>2784</v>
      </c>
      <c r="J2716" s="14" t="s">
        <v>29</v>
      </c>
      <c r="K2716" s="15" t="s">
        <v>54</v>
      </c>
      <c r="L2716" s="58"/>
      <c r="M2716" s="14"/>
      <c r="N2716" s="14" t="s">
        <v>33</v>
      </c>
      <c r="O2716" s="14"/>
      <c r="P2716" s="15" t="s">
        <v>51</v>
      </c>
      <c r="Q2716" s="16">
        <v>2299</v>
      </c>
      <c r="R2716" s="17">
        <v>40</v>
      </c>
      <c r="S2716" s="18">
        <v>1586.31</v>
      </c>
      <c r="T2716" s="19" t="s">
        <v>36</v>
      </c>
      <c r="U2716" s="20" t="s">
        <v>126</v>
      </c>
      <c r="V2716" s="21" t="s">
        <v>127</v>
      </c>
      <c r="W2716" s="22">
        <v>10</v>
      </c>
      <c r="X2716" s="23"/>
    </row>
    <row r="2717" spans="1:24" s="1" customFormat="1" ht="35.1" customHeight="1" x14ac:dyDescent="0.3">
      <c r="A2717" s="11" t="s">
        <v>23</v>
      </c>
      <c r="B2717" s="11" t="s">
        <v>2944</v>
      </c>
      <c r="C2717" s="12" t="s">
        <v>3047</v>
      </c>
      <c r="D2717" s="53"/>
      <c r="E2717" s="39" t="str">
        <f>HYPERLINK("https://www.google.ru/search?q=1383010-027&amp;newwindow=1&amp;tbm=isch","Еще фото")</f>
        <v>Еще фото</v>
      </c>
      <c r="F2717" s="13"/>
      <c r="G2717" s="11" t="s">
        <v>2788</v>
      </c>
      <c r="H2717" s="11" t="s">
        <v>27</v>
      </c>
      <c r="I2717" s="14" t="s">
        <v>2784</v>
      </c>
      <c r="J2717" s="14" t="s">
        <v>29</v>
      </c>
      <c r="K2717" s="15" t="s">
        <v>54</v>
      </c>
      <c r="L2717" s="56" t="s">
        <v>2946</v>
      </c>
      <c r="M2717" s="14"/>
      <c r="N2717" s="14" t="s">
        <v>84</v>
      </c>
      <c r="O2717" s="14"/>
      <c r="P2717" s="15" t="s">
        <v>51</v>
      </c>
      <c r="Q2717" s="16">
        <v>2299</v>
      </c>
      <c r="R2717" s="17">
        <v>40</v>
      </c>
      <c r="S2717" s="18">
        <v>1586.31</v>
      </c>
      <c r="T2717" s="19" t="s">
        <v>36</v>
      </c>
      <c r="U2717" s="20" t="s">
        <v>114</v>
      </c>
      <c r="V2717" s="21" t="s">
        <v>115</v>
      </c>
      <c r="W2717" s="22">
        <v>5</v>
      </c>
      <c r="X2717" s="23"/>
    </row>
    <row r="2718" spans="1:24" s="1" customFormat="1" ht="35.1" customHeight="1" x14ac:dyDescent="0.3">
      <c r="A2718" s="24" t="s">
        <v>23</v>
      </c>
      <c r="B2718" s="24" t="s">
        <v>2944</v>
      </c>
      <c r="C2718" s="12" t="s">
        <v>3047</v>
      </c>
      <c r="D2718" s="54"/>
      <c r="E2718" s="39" t="str">
        <f>HYPERLINK("https://www.google.ru/search?q=1383010-027&amp;newwindow=1&amp;tbm=isch","Еще фото")</f>
        <v>Еще фото</v>
      </c>
      <c r="F2718" s="13"/>
      <c r="G2718" s="24" t="s">
        <v>2788</v>
      </c>
      <c r="H2718" s="24" t="s">
        <v>27</v>
      </c>
      <c r="I2718" s="24" t="s">
        <v>2784</v>
      </c>
      <c r="J2718" s="14" t="s">
        <v>29</v>
      </c>
      <c r="K2718" s="15" t="s">
        <v>54</v>
      </c>
      <c r="L2718" s="57"/>
      <c r="M2718" s="14"/>
      <c r="N2718" s="14" t="s">
        <v>84</v>
      </c>
      <c r="O2718" s="14"/>
      <c r="P2718" s="15" t="s">
        <v>51</v>
      </c>
      <c r="Q2718" s="16">
        <v>2299</v>
      </c>
      <c r="R2718" s="17">
        <v>40</v>
      </c>
      <c r="S2718" s="18">
        <v>1586.31</v>
      </c>
      <c r="T2718" s="19" t="s">
        <v>36</v>
      </c>
      <c r="U2718" s="20" t="s">
        <v>126</v>
      </c>
      <c r="V2718" s="21" t="s">
        <v>127</v>
      </c>
      <c r="W2718" s="22">
        <v>7</v>
      </c>
      <c r="X2718" s="23"/>
    </row>
    <row r="2719" spans="1:24" s="1" customFormat="1" ht="36.950000000000003" customHeight="1" x14ac:dyDescent="0.3">
      <c r="A2719" s="24" t="s">
        <v>23</v>
      </c>
      <c r="B2719" s="24" t="s">
        <v>2944</v>
      </c>
      <c r="C2719" s="12" t="s">
        <v>3047</v>
      </c>
      <c r="D2719" s="55"/>
      <c r="E2719" s="39" t="str">
        <f>HYPERLINK("https://www.google.ru/search?q=1383010-027&amp;newwindow=1&amp;tbm=isch","Еще фото")</f>
        <v>Еще фото</v>
      </c>
      <c r="F2719" s="13"/>
      <c r="G2719" s="24" t="s">
        <v>2788</v>
      </c>
      <c r="H2719" s="24" t="s">
        <v>27</v>
      </c>
      <c r="I2719" s="24" t="s">
        <v>2784</v>
      </c>
      <c r="J2719" s="14" t="s">
        <v>29</v>
      </c>
      <c r="K2719" s="15" t="s">
        <v>54</v>
      </c>
      <c r="L2719" s="58"/>
      <c r="M2719" s="14"/>
      <c r="N2719" s="14" t="s">
        <v>84</v>
      </c>
      <c r="O2719" s="14"/>
      <c r="P2719" s="15" t="s">
        <v>51</v>
      </c>
      <c r="Q2719" s="16">
        <v>2299</v>
      </c>
      <c r="R2719" s="17">
        <v>40</v>
      </c>
      <c r="S2719" s="18">
        <v>1586.31</v>
      </c>
      <c r="T2719" s="19" t="s">
        <v>36</v>
      </c>
      <c r="U2719" s="20" t="s">
        <v>128</v>
      </c>
      <c r="V2719" s="21" t="s">
        <v>129</v>
      </c>
      <c r="W2719" s="22">
        <v>1</v>
      </c>
      <c r="X2719" s="23"/>
    </row>
    <row r="2720" spans="1:24" s="1" customFormat="1" ht="51.95" customHeight="1" x14ac:dyDescent="0.3">
      <c r="A2720" s="11" t="s">
        <v>23</v>
      </c>
      <c r="B2720" s="11" t="s">
        <v>2941</v>
      </c>
      <c r="C2720" s="12" t="s">
        <v>3048</v>
      </c>
      <c r="D2720" s="59"/>
      <c r="E2720" s="39" t="str">
        <f>HYPERLINK("https://www.google.ru/search?q=1383191-800&amp;newwindow=1&amp;tbm=isch","Еще фото")</f>
        <v>Еще фото</v>
      </c>
      <c r="F2720" s="13"/>
      <c r="G2720" s="11" t="s">
        <v>2788</v>
      </c>
      <c r="H2720" s="11" t="s">
        <v>27</v>
      </c>
      <c r="I2720" s="14" t="s">
        <v>2784</v>
      </c>
      <c r="J2720" s="14" t="s">
        <v>29</v>
      </c>
      <c r="K2720" s="15" t="s">
        <v>30</v>
      </c>
      <c r="L2720" s="56" t="s">
        <v>2943</v>
      </c>
      <c r="M2720" s="14"/>
      <c r="N2720" s="14" t="s">
        <v>434</v>
      </c>
      <c r="O2720" s="14"/>
      <c r="P2720" s="15" t="s">
        <v>2601</v>
      </c>
      <c r="Q2720" s="16">
        <v>6899</v>
      </c>
      <c r="R2720" s="17">
        <v>40</v>
      </c>
      <c r="S2720" s="18">
        <v>4760.3099999999995</v>
      </c>
      <c r="T2720" s="19" t="s">
        <v>36</v>
      </c>
      <c r="U2720" s="20" t="s">
        <v>69</v>
      </c>
      <c r="V2720" s="21" t="s">
        <v>75</v>
      </c>
      <c r="W2720" s="22">
        <v>2</v>
      </c>
      <c r="X2720" s="23"/>
    </row>
    <row r="2721" spans="1:24" s="1" customFormat="1" ht="60.95" customHeight="1" x14ac:dyDescent="0.3">
      <c r="A2721" s="24" t="s">
        <v>23</v>
      </c>
      <c r="B2721" s="24" t="s">
        <v>2941</v>
      </c>
      <c r="C2721" s="12" t="s">
        <v>3048</v>
      </c>
      <c r="D2721" s="60"/>
      <c r="E2721" s="39" t="str">
        <f>HYPERLINK("https://www.google.ru/search?q=1383191-800&amp;newwindow=1&amp;tbm=isch","Еще фото")</f>
        <v>Еще фото</v>
      </c>
      <c r="F2721" s="13"/>
      <c r="G2721" s="24" t="s">
        <v>2788</v>
      </c>
      <c r="H2721" s="24" t="s">
        <v>27</v>
      </c>
      <c r="I2721" s="24" t="s">
        <v>2784</v>
      </c>
      <c r="J2721" s="14" t="s">
        <v>29</v>
      </c>
      <c r="K2721" s="15" t="s">
        <v>30</v>
      </c>
      <c r="L2721" s="58"/>
      <c r="M2721" s="14"/>
      <c r="N2721" s="14" t="s">
        <v>434</v>
      </c>
      <c r="O2721" s="14"/>
      <c r="P2721" s="15" t="s">
        <v>2601</v>
      </c>
      <c r="Q2721" s="16">
        <v>6899</v>
      </c>
      <c r="R2721" s="17">
        <v>40</v>
      </c>
      <c r="S2721" s="18">
        <v>4760.3099999999995</v>
      </c>
      <c r="T2721" s="19" t="s">
        <v>36</v>
      </c>
      <c r="U2721" s="20" t="s">
        <v>39</v>
      </c>
      <c r="V2721" s="21" t="s">
        <v>40</v>
      </c>
      <c r="W2721" s="22">
        <v>2</v>
      </c>
      <c r="X2721" s="23"/>
    </row>
    <row r="2722" spans="1:24" s="1" customFormat="1" ht="51.95" customHeight="1" x14ac:dyDescent="0.3">
      <c r="A2722" s="11" t="s">
        <v>23</v>
      </c>
      <c r="B2722" s="11" t="s">
        <v>3049</v>
      </c>
      <c r="C2722" s="12" t="s">
        <v>3050</v>
      </c>
      <c r="D2722" s="59"/>
      <c r="E2722" s="39" t="str">
        <f>HYPERLINK("https://www.google.ru/search?q=1383226-273&amp;newwindow=1&amp;tbm=isch","Еще фото")</f>
        <v>Еще фото</v>
      </c>
      <c r="F2722" s="13"/>
      <c r="G2722" s="11" t="s">
        <v>2862</v>
      </c>
      <c r="H2722" s="11" t="s">
        <v>27</v>
      </c>
      <c r="I2722" s="14" t="s">
        <v>2784</v>
      </c>
      <c r="J2722" s="14" t="s">
        <v>29</v>
      </c>
      <c r="K2722" s="15" t="s">
        <v>30</v>
      </c>
      <c r="L2722" s="56" t="s">
        <v>3051</v>
      </c>
      <c r="M2722" s="14"/>
      <c r="N2722" s="14" t="s">
        <v>215</v>
      </c>
      <c r="O2722" s="14"/>
      <c r="P2722" s="15" t="s">
        <v>2801</v>
      </c>
      <c r="Q2722" s="16">
        <v>8199</v>
      </c>
      <c r="R2722" s="17">
        <v>40</v>
      </c>
      <c r="S2722" s="18">
        <v>5657.3099999999995</v>
      </c>
      <c r="T2722" s="19" t="s">
        <v>36</v>
      </c>
      <c r="U2722" s="20" t="s">
        <v>41</v>
      </c>
      <c r="V2722" s="21" t="s">
        <v>42</v>
      </c>
      <c r="W2722" s="22">
        <v>1</v>
      </c>
      <c r="X2722" s="23"/>
    </row>
    <row r="2723" spans="1:24" s="1" customFormat="1" ht="60.95" customHeight="1" x14ac:dyDescent="0.3">
      <c r="A2723" s="24" t="s">
        <v>23</v>
      </c>
      <c r="B2723" s="24" t="s">
        <v>3049</v>
      </c>
      <c r="C2723" s="12" t="s">
        <v>3050</v>
      </c>
      <c r="D2723" s="60"/>
      <c r="E2723" s="39" t="str">
        <f>HYPERLINK("https://www.google.ru/search?q=1383226-273&amp;newwindow=1&amp;tbm=isch","Еще фото")</f>
        <v>Еще фото</v>
      </c>
      <c r="F2723" s="13"/>
      <c r="G2723" s="24" t="s">
        <v>2862</v>
      </c>
      <c r="H2723" s="24" t="s">
        <v>27</v>
      </c>
      <c r="I2723" s="24" t="s">
        <v>2784</v>
      </c>
      <c r="J2723" s="14" t="s">
        <v>29</v>
      </c>
      <c r="K2723" s="15" t="s">
        <v>30</v>
      </c>
      <c r="L2723" s="58"/>
      <c r="M2723" s="14"/>
      <c r="N2723" s="14" t="s">
        <v>215</v>
      </c>
      <c r="O2723" s="14"/>
      <c r="P2723" s="15" t="s">
        <v>2801</v>
      </c>
      <c r="Q2723" s="16">
        <v>8199</v>
      </c>
      <c r="R2723" s="17">
        <v>40</v>
      </c>
      <c r="S2723" s="18">
        <v>5657.3099999999995</v>
      </c>
      <c r="T2723" s="19" t="s">
        <v>36</v>
      </c>
      <c r="U2723" s="20" t="s">
        <v>43</v>
      </c>
      <c r="V2723" s="21" t="s">
        <v>44</v>
      </c>
      <c r="W2723" s="22">
        <v>2</v>
      </c>
      <c r="X2723" s="23"/>
    </row>
    <row r="2724" spans="1:24" s="1" customFormat="1" ht="108" customHeight="1" x14ac:dyDescent="0.3">
      <c r="A2724" s="11" t="s">
        <v>23</v>
      </c>
      <c r="B2724" s="11" t="s">
        <v>3052</v>
      </c>
      <c r="C2724" s="12" t="s">
        <v>3053</v>
      </c>
      <c r="D2724" s="25"/>
      <c r="E2724" s="39" t="str">
        <f>HYPERLINK("https://www.google.ru/search?q=1383249-100&amp;newwindow=1&amp;tbm=isch","Еще фото")</f>
        <v>Еще фото</v>
      </c>
      <c r="F2724" s="13"/>
      <c r="G2724" s="11" t="s">
        <v>2804</v>
      </c>
      <c r="H2724" s="11" t="s">
        <v>27</v>
      </c>
      <c r="I2724" s="14" t="s">
        <v>2784</v>
      </c>
      <c r="J2724" s="14" t="s">
        <v>212</v>
      </c>
      <c r="K2724" s="15" t="s">
        <v>30</v>
      </c>
      <c r="L2724" s="14" t="s">
        <v>3054</v>
      </c>
      <c r="M2724" s="14"/>
      <c r="N2724" s="14" t="s">
        <v>74</v>
      </c>
      <c r="O2724" s="14"/>
      <c r="P2724" s="15" t="s">
        <v>779</v>
      </c>
      <c r="Q2724" s="16">
        <v>7299</v>
      </c>
      <c r="R2724" s="17">
        <v>40</v>
      </c>
      <c r="S2724" s="18">
        <v>5036.3099999999995</v>
      </c>
      <c r="T2724" s="19" t="s">
        <v>36</v>
      </c>
      <c r="U2724" s="20" t="s">
        <v>39</v>
      </c>
      <c r="V2724" s="21" t="s">
        <v>40</v>
      </c>
      <c r="W2724" s="22">
        <v>2</v>
      </c>
      <c r="X2724" s="23"/>
    </row>
    <row r="2725" spans="1:24" s="1" customFormat="1" ht="51.95" customHeight="1" x14ac:dyDescent="0.3">
      <c r="A2725" s="11" t="s">
        <v>23</v>
      </c>
      <c r="B2725" s="11" t="s">
        <v>3055</v>
      </c>
      <c r="C2725" s="12" t="s">
        <v>3056</v>
      </c>
      <c r="D2725" s="59"/>
      <c r="E2725" s="39" t="str">
        <f>HYPERLINK("https://www.google.ru/search?q=1383320-432&amp;newwindow=1&amp;tbm=isch","Еще фото")</f>
        <v>Еще фото</v>
      </c>
      <c r="F2725" s="13"/>
      <c r="G2725" s="11" t="s">
        <v>2788</v>
      </c>
      <c r="H2725" s="11" t="s">
        <v>27</v>
      </c>
      <c r="I2725" s="14" t="s">
        <v>2784</v>
      </c>
      <c r="J2725" s="14" t="s">
        <v>29</v>
      </c>
      <c r="K2725" s="15" t="s">
        <v>30</v>
      </c>
      <c r="L2725" s="56" t="s">
        <v>3057</v>
      </c>
      <c r="M2725" s="14"/>
      <c r="N2725" s="14" t="s">
        <v>91</v>
      </c>
      <c r="O2725" s="14"/>
      <c r="P2725" s="15" t="s">
        <v>230</v>
      </c>
      <c r="Q2725" s="16">
        <v>6299</v>
      </c>
      <c r="R2725" s="17">
        <v>40</v>
      </c>
      <c r="S2725" s="18">
        <v>4346.3099999999995</v>
      </c>
      <c r="T2725" s="19" t="s">
        <v>36</v>
      </c>
      <c r="U2725" s="20" t="s">
        <v>37</v>
      </c>
      <c r="V2725" s="21" t="s">
        <v>38</v>
      </c>
      <c r="W2725" s="22">
        <v>2</v>
      </c>
      <c r="X2725" s="23"/>
    </row>
    <row r="2726" spans="1:24" s="1" customFormat="1" ht="60.95" customHeight="1" x14ac:dyDescent="0.3">
      <c r="A2726" s="24" t="s">
        <v>23</v>
      </c>
      <c r="B2726" s="24" t="s">
        <v>3055</v>
      </c>
      <c r="C2726" s="12" t="s">
        <v>3056</v>
      </c>
      <c r="D2726" s="60"/>
      <c r="E2726" s="39" t="str">
        <f>HYPERLINK("https://www.google.ru/search?q=1383320-432&amp;newwindow=1&amp;tbm=isch","Еще фото")</f>
        <v>Еще фото</v>
      </c>
      <c r="F2726" s="13"/>
      <c r="G2726" s="24" t="s">
        <v>2788</v>
      </c>
      <c r="H2726" s="24" t="s">
        <v>27</v>
      </c>
      <c r="I2726" s="24" t="s">
        <v>2784</v>
      </c>
      <c r="J2726" s="14" t="s">
        <v>29</v>
      </c>
      <c r="K2726" s="15" t="s">
        <v>30</v>
      </c>
      <c r="L2726" s="58"/>
      <c r="M2726" s="14"/>
      <c r="N2726" s="14" t="s">
        <v>91</v>
      </c>
      <c r="O2726" s="14"/>
      <c r="P2726" s="15" t="s">
        <v>230</v>
      </c>
      <c r="Q2726" s="16">
        <v>6299</v>
      </c>
      <c r="R2726" s="17">
        <v>40</v>
      </c>
      <c r="S2726" s="18">
        <v>4346.3099999999995</v>
      </c>
      <c r="T2726" s="19" t="s">
        <v>36</v>
      </c>
      <c r="U2726" s="20" t="s">
        <v>39</v>
      </c>
      <c r="V2726" s="21" t="s">
        <v>40</v>
      </c>
      <c r="W2726" s="22">
        <v>3</v>
      </c>
      <c r="X2726" s="23"/>
    </row>
    <row r="2727" spans="1:24" s="1" customFormat="1" ht="108" customHeight="1" x14ac:dyDescent="0.3">
      <c r="A2727" s="11" t="s">
        <v>23</v>
      </c>
      <c r="B2727" s="11" t="s">
        <v>2898</v>
      </c>
      <c r="C2727" s="12" t="s">
        <v>3058</v>
      </c>
      <c r="D2727" s="25"/>
      <c r="E2727" s="39" t="str">
        <f>HYPERLINK("https://www.google.ru/search?q=1383544-001&amp;newwindow=1&amp;tbm=isch","Еще фото")</f>
        <v>Еще фото</v>
      </c>
      <c r="F2727" s="13" t="s">
        <v>98</v>
      </c>
      <c r="G2727" s="11" t="s">
        <v>2809</v>
      </c>
      <c r="H2727" s="11" t="s">
        <v>27</v>
      </c>
      <c r="I2727" s="14" t="s">
        <v>2784</v>
      </c>
      <c r="J2727" s="14" t="s">
        <v>29</v>
      </c>
      <c r="K2727" s="15" t="s">
        <v>64</v>
      </c>
      <c r="L2727" s="14" t="s">
        <v>2900</v>
      </c>
      <c r="M2727" s="14" t="s">
        <v>66</v>
      </c>
      <c r="N2727" s="14" t="s">
        <v>33</v>
      </c>
      <c r="O2727" s="14"/>
      <c r="P2727" s="15" t="s">
        <v>2533</v>
      </c>
      <c r="Q2727" s="16">
        <v>3699</v>
      </c>
      <c r="R2727" s="17">
        <v>40</v>
      </c>
      <c r="S2727" s="18">
        <v>2552.31</v>
      </c>
      <c r="T2727" s="19" t="s">
        <v>36</v>
      </c>
      <c r="U2727" s="20" t="s">
        <v>69</v>
      </c>
      <c r="V2727" s="21" t="s">
        <v>70</v>
      </c>
      <c r="W2727" s="22">
        <v>27</v>
      </c>
      <c r="X2727" s="23"/>
    </row>
    <row r="2728" spans="1:24" s="1" customFormat="1" ht="108" customHeight="1" x14ac:dyDescent="0.3">
      <c r="A2728" s="11" t="s">
        <v>23</v>
      </c>
      <c r="B2728" s="11" t="s">
        <v>3059</v>
      </c>
      <c r="C2728" s="12" t="s">
        <v>3060</v>
      </c>
      <c r="D2728" s="25"/>
      <c r="E2728" s="39" t="str">
        <f>HYPERLINK("https://www.google.ru/search?q=1383544-713&amp;newwindow=1&amp;tbm=isch","Еще фото")</f>
        <v>Еще фото</v>
      </c>
      <c r="F2728" s="13"/>
      <c r="G2728" s="11" t="s">
        <v>2809</v>
      </c>
      <c r="H2728" s="11" t="s">
        <v>27</v>
      </c>
      <c r="I2728" s="14" t="s">
        <v>2784</v>
      </c>
      <c r="J2728" s="14" t="s">
        <v>29</v>
      </c>
      <c r="K2728" s="15" t="s">
        <v>64</v>
      </c>
      <c r="L2728" s="14" t="s">
        <v>2900</v>
      </c>
      <c r="M2728" s="14"/>
      <c r="N2728" s="14" t="s">
        <v>140</v>
      </c>
      <c r="O2728" s="14"/>
      <c r="P2728" s="15" t="s">
        <v>100</v>
      </c>
      <c r="Q2728" s="16">
        <v>3699</v>
      </c>
      <c r="R2728" s="17">
        <v>40</v>
      </c>
      <c r="S2728" s="18">
        <v>2552.31</v>
      </c>
      <c r="T2728" s="19" t="s">
        <v>36</v>
      </c>
      <c r="U2728" s="20" t="s">
        <v>69</v>
      </c>
      <c r="V2728" s="21" t="s">
        <v>70</v>
      </c>
      <c r="W2728" s="22">
        <v>6</v>
      </c>
      <c r="X2728" s="23"/>
    </row>
    <row r="2729" spans="1:24" s="1" customFormat="1" ht="51.95" customHeight="1" x14ac:dyDescent="0.3">
      <c r="A2729" s="11" t="s">
        <v>23</v>
      </c>
      <c r="B2729" s="11" t="s">
        <v>3061</v>
      </c>
      <c r="C2729" s="12" t="s">
        <v>3062</v>
      </c>
      <c r="D2729" s="59"/>
      <c r="E2729" s="39" t="str">
        <f>HYPERLINK("https://www.google.ru/search?q=1383648-349&amp;newwindow=1&amp;tbm=isch","Еще фото")</f>
        <v>Еще фото</v>
      </c>
      <c r="F2729" s="13"/>
      <c r="G2729" s="11" t="s">
        <v>2788</v>
      </c>
      <c r="H2729" s="11" t="s">
        <v>27</v>
      </c>
      <c r="I2729" s="14" t="s">
        <v>2784</v>
      </c>
      <c r="J2729" s="14" t="s">
        <v>47</v>
      </c>
      <c r="K2729" s="15" t="s">
        <v>64</v>
      </c>
      <c r="L2729" s="56" t="s">
        <v>3063</v>
      </c>
      <c r="M2729" s="14" t="s">
        <v>256</v>
      </c>
      <c r="N2729" s="14" t="s">
        <v>125</v>
      </c>
      <c r="O2729" s="14"/>
      <c r="P2729" s="15" t="s">
        <v>2801</v>
      </c>
      <c r="Q2729" s="16">
        <v>2899</v>
      </c>
      <c r="R2729" s="17">
        <v>40</v>
      </c>
      <c r="S2729" s="18">
        <v>2000.31</v>
      </c>
      <c r="T2729" s="19" t="s">
        <v>36</v>
      </c>
      <c r="U2729" s="20" t="s">
        <v>37</v>
      </c>
      <c r="V2729" s="21" t="s">
        <v>86</v>
      </c>
      <c r="W2729" s="22">
        <v>1</v>
      </c>
      <c r="X2729" s="23"/>
    </row>
    <row r="2730" spans="1:24" s="1" customFormat="1" ht="60.95" customHeight="1" x14ac:dyDescent="0.3">
      <c r="A2730" s="24" t="s">
        <v>23</v>
      </c>
      <c r="B2730" s="24" t="s">
        <v>3061</v>
      </c>
      <c r="C2730" s="12" t="s">
        <v>3062</v>
      </c>
      <c r="D2730" s="60"/>
      <c r="E2730" s="39" t="str">
        <f>HYPERLINK("https://www.google.ru/search?q=1383648-349&amp;newwindow=1&amp;tbm=isch","Еще фото")</f>
        <v>Еще фото</v>
      </c>
      <c r="F2730" s="13"/>
      <c r="G2730" s="24" t="s">
        <v>2788</v>
      </c>
      <c r="H2730" s="24" t="s">
        <v>27</v>
      </c>
      <c r="I2730" s="24" t="s">
        <v>2784</v>
      </c>
      <c r="J2730" s="14" t="s">
        <v>47</v>
      </c>
      <c r="K2730" s="15" t="s">
        <v>64</v>
      </c>
      <c r="L2730" s="58"/>
      <c r="M2730" s="14" t="s">
        <v>256</v>
      </c>
      <c r="N2730" s="14" t="s">
        <v>125</v>
      </c>
      <c r="O2730" s="14"/>
      <c r="P2730" s="15" t="s">
        <v>2801</v>
      </c>
      <c r="Q2730" s="16">
        <v>2899</v>
      </c>
      <c r="R2730" s="17">
        <v>40</v>
      </c>
      <c r="S2730" s="18">
        <v>2000.31</v>
      </c>
      <c r="T2730" s="19" t="s">
        <v>36</v>
      </c>
      <c r="U2730" s="20" t="s">
        <v>39</v>
      </c>
      <c r="V2730" s="21" t="s">
        <v>38</v>
      </c>
      <c r="W2730" s="22">
        <v>1</v>
      </c>
      <c r="X2730" s="23"/>
    </row>
    <row r="2731" spans="1:24" s="1" customFormat="1" ht="26.1" customHeight="1" x14ac:dyDescent="0.3">
      <c r="A2731" s="11" t="s">
        <v>23</v>
      </c>
      <c r="B2731" s="11" t="s">
        <v>3061</v>
      </c>
      <c r="C2731" s="12" t="s">
        <v>3064</v>
      </c>
      <c r="D2731" s="53"/>
      <c r="E2731" s="39" t="str">
        <f>HYPERLINK("https://www.google.ru/search?q=1383648-477&amp;newwindow=1&amp;tbm=isch","Еще фото")</f>
        <v>Еще фото</v>
      </c>
      <c r="F2731" s="13"/>
      <c r="G2731" s="11" t="s">
        <v>2788</v>
      </c>
      <c r="H2731" s="11" t="s">
        <v>27</v>
      </c>
      <c r="I2731" s="14" t="s">
        <v>2784</v>
      </c>
      <c r="J2731" s="14" t="s">
        <v>47</v>
      </c>
      <c r="K2731" s="15" t="s">
        <v>64</v>
      </c>
      <c r="L2731" s="56"/>
      <c r="M2731" s="14"/>
      <c r="N2731" s="14" t="s">
        <v>50</v>
      </c>
      <c r="O2731" s="14"/>
      <c r="P2731" s="15" t="s">
        <v>764</v>
      </c>
      <c r="Q2731" s="16">
        <v>2499</v>
      </c>
      <c r="R2731" s="17">
        <v>40</v>
      </c>
      <c r="S2731" s="18">
        <v>1724.31</v>
      </c>
      <c r="T2731" s="19" t="s">
        <v>36</v>
      </c>
      <c r="U2731" s="20" t="s">
        <v>69</v>
      </c>
      <c r="V2731" s="21" t="s">
        <v>70</v>
      </c>
      <c r="W2731" s="22">
        <v>12</v>
      </c>
      <c r="X2731" s="23"/>
    </row>
    <row r="2732" spans="1:24" s="1" customFormat="1" ht="26.1" customHeight="1" x14ac:dyDescent="0.3">
      <c r="A2732" s="24" t="s">
        <v>23</v>
      </c>
      <c r="B2732" s="24" t="s">
        <v>3061</v>
      </c>
      <c r="C2732" s="12" t="s">
        <v>3064</v>
      </c>
      <c r="D2732" s="54"/>
      <c r="E2732" s="39" t="str">
        <f>HYPERLINK("https://www.google.ru/search?q=1383648-477&amp;newwindow=1&amp;tbm=isch","Еще фото")</f>
        <v>Еще фото</v>
      </c>
      <c r="F2732" s="13"/>
      <c r="G2732" s="24" t="s">
        <v>2788</v>
      </c>
      <c r="H2732" s="24" t="s">
        <v>27</v>
      </c>
      <c r="I2732" s="24" t="s">
        <v>2784</v>
      </c>
      <c r="J2732" s="14" t="s">
        <v>47</v>
      </c>
      <c r="K2732" s="15" t="s">
        <v>64</v>
      </c>
      <c r="L2732" s="57"/>
      <c r="M2732" s="14"/>
      <c r="N2732" s="14" t="s">
        <v>50</v>
      </c>
      <c r="O2732" s="14"/>
      <c r="P2732" s="15" t="s">
        <v>764</v>
      </c>
      <c r="Q2732" s="16">
        <v>2499</v>
      </c>
      <c r="R2732" s="17">
        <v>40</v>
      </c>
      <c r="S2732" s="18">
        <v>1724.31</v>
      </c>
      <c r="T2732" s="19" t="s">
        <v>36</v>
      </c>
      <c r="U2732" s="20" t="s">
        <v>37</v>
      </c>
      <c r="V2732" s="21" t="s">
        <v>86</v>
      </c>
      <c r="W2732" s="22">
        <v>14</v>
      </c>
      <c r="X2732" s="23"/>
    </row>
    <row r="2733" spans="1:24" s="1" customFormat="1" ht="26.1" customHeight="1" x14ac:dyDescent="0.3">
      <c r="A2733" s="24" t="s">
        <v>23</v>
      </c>
      <c r="B2733" s="24" t="s">
        <v>3061</v>
      </c>
      <c r="C2733" s="12" t="s">
        <v>3064</v>
      </c>
      <c r="D2733" s="54"/>
      <c r="E2733" s="39" t="str">
        <f>HYPERLINK("https://www.google.ru/search?q=1383648-477&amp;newwindow=1&amp;tbm=isch","Еще фото")</f>
        <v>Еще фото</v>
      </c>
      <c r="F2733" s="13"/>
      <c r="G2733" s="24" t="s">
        <v>2788</v>
      </c>
      <c r="H2733" s="24" t="s">
        <v>27</v>
      </c>
      <c r="I2733" s="24" t="s">
        <v>2784</v>
      </c>
      <c r="J2733" s="14" t="s">
        <v>47</v>
      </c>
      <c r="K2733" s="15" t="s">
        <v>64</v>
      </c>
      <c r="L2733" s="57"/>
      <c r="M2733" s="14"/>
      <c r="N2733" s="14" t="s">
        <v>50</v>
      </c>
      <c r="O2733" s="14"/>
      <c r="P2733" s="15" t="s">
        <v>764</v>
      </c>
      <c r="Q2733" s="16">
        <v>2499</v>
      </c>
      <c r="R2733" s="17">
        <v>40</v>
      </c>
      <c r="S2733" s="18">
        <v>1724.31</v>
      </c>
      <c r="T2733" s="19" t="s">
        <v>36</v>
      </c>
      <c r="U2733" s="20" t="s">
        <v>39</v>
      </c>
      <c r="V2733" s="21" t="s">
        <v>38</v>
      </c>
      <c r="W2733" s="22">
        <v>10</v>
      </c>
      <c r="X2733" s="23"/>
    </row>
    <row r="2734" spans="1:24" s="1" customFormat="1" ht="26.1" customHeight="1" x14ac:dyDescent="0.3">
      <c r="A2734" s="24" t="s">
        <v>23</v>
      </c>
      <c r="B2734" s="24" t="s">
        <v>3061</v>
      </c>
      <c r="C2734" s="12" t="s">
        <v>3064</v>
      </c>
      <c r="D2734" s="55"/>
      <c r="E2734" s="39" t="str">
        <f>HYPERLINK("https://www.google.ru/search?q=1383648-477&amp;newwindow=1&amp;tbm=isch","Еще фото")</f>
        <v>Еще фото</v>
      </c>
      <c r="F2734" s="13"/>
      <c r="G2734" s="24" t="s">
        <v>2788</v>
      </c>
      <c r="H2734" s="24" t="s">
        <v>27</v>
      </c>
      <c r="I2734" s="24" t="s">
        <v>2784</v>
      </c>
      <c r="J2734" s="14" t="s">
        <v>47</v>
      </c>
      <c r="K2734" s="15" t="s">
        <v>64</v>
      </c>
      <c r="L2734" s="58"/>
      <c r="M2734" s="14"/>
      <c r="N2734" s="14" t="s">
        <v>50</v>
      </c>
      <c r="O2734" s="14"/>
      <c r="P2734" s="15" t="s">
        <v>764</v>
      </c>
      <c r="Q2734" s="16">
        <v>2499</v>
      </c>
      <c r="R2734" s="17">
        <v>40</v>
      </c>
      <c r="S2734" s="18">
        <v>1724.31</v>
      </c>
      <c r="T2734" s="19" t="s">
        <v>36</v>
      </c>
      <c r="U2734" s="20" t="s">
        <v>41</v>
      </c>
      <c r="V2734" s="21" t="s">
        <v>40</v>
      </c>
      <c r="W2734" s="22">
        <v>7</v>
      </c>
      <c r="X2734" s="23"/>
    </row>
    <row r="2735" spans="1:24" s="1" customFormat="1" ht="26.1" customHeight="1" x14ac:dyDescent="0.3">
      <c r="A2735" s="11" t="s">
        <v>23</v>
      </c>
      <c r="B2735" s="11" t="s">
        <v>3061</v>
      </c>
      <c r="C2735" s="12" t="s">
        <v>3065</v>
      </c>
      <c r="D2735" s="53"/>
      <c r="E2735" s="39" t="str">
        <f>HYPERLINK("https://www.google.ru/search?q=1383648-498&amp;newwindow=1&amp;tbm=isch","Еще фото")</f>
        <v>Еще фото</v>
      </c>
      <c r="F2735" s="13"/>
      <c r="G2735" s="11" t="s">
        <v>2788</v>
      </c>
      <c r="H2735" s="11" t="s">
        <v>27</v>
      </c>
      <c r="I2735" s="14" t="s">
        <v>2784</v>
      </c>
      <c r="J2735" s="14" t="s">
        <v>47</v>
      </c>
      <c r="K2735" s="15" t="s">
        <v>64</v>
      </c>
      <c r="L2735" s="56" t="s">
        <v>3063</v>
      </c>
      <c r="M2735" s="14"/>
      <c r="N2735" s="14" t="s">
        <v>91</v>
      </c>
      <c r="O2735" s="14"/>
      <c r="P2735" s="15" t="s">
        <v>2801</v>
      </c>
      <c r="Q2735" s="16">
        <v>2499</v>
      </c>
      <c r="R2735" s="17">
        <v>40</v>
      </c>
      <c r="S2735" s="18">
        <v>1724.31</v>
      </c>
      <c r="T2735" s="19" t="s">
        <v>36</v>
      </c>
      <c r="U2735" s="20" t="s">
        <v>69</v>
      </c>
      <c r="V2735" s="21" t="s">
        <v>70</v>
      </c>
      <c r="W2735" s="22">
        <v>10</v>
      </c>
      <c r="X2735" s="23"/>
    </row>
    <row r="2736" spans="1:24" s="1" customFormat="1" ht="26.1" customHeight="1" x14ac:dyDescent="0.3">
      <c r="A2736" s="24" t="s">
        <v>23</v>
      </c>
      <c r="B2736" s="24" t="s">
        <v>3061</v>
      </c>
      <c r="C2736" s="12" t="s">
        <v>3065</v>
      </c>
      <c r="D2736" s="54"/>
      <c r="E2736" s="39" t="str">
        <f>HYPERLINK("https://www.google.ru/search?q=1383648-498&amp;newwindow=1&amp;tbm=isch","Еще фото")</f>
        <v>Еще фото</v>
      </c>
      <c r="F2736" s="13"/>
      <c r="G2736" s="24" t="s">
        <v>2788</v>
      </c>
      <c r="H2736" s="24" t="s">
        <v>27</v>
      </c>
      <c r="I2736" s="24" t="s">
        <v>2784</v>
      </c>
      <c r="J2736" s="14" t="s">
        <v>47</v>
      </c>
      <c r="K2736" s="15" t="s">
        <v>64</v>
      </c>
      <c r="L2736" s="57"/>
      <c r="M2736" s="14"/>
      <c r="N2736" s="14" t="s">
        <v>91</v>
      </c>
      <c r="O2736" s="14"/>
      <c r="P2736" s="15" t="s">
        <v>2801</v>
      </c>
      <c r="Q2736" s="16">
        <v>2499</v>
      </c>
      <c r="R2736" s="17">
        <v>40</v>
      </c>
      <c r="S2736" s="18">
        <v>1724.31</v>
      </c>
      <c r="T2736" s="19" t="s">
        <v>36</v>
      </c>
      <c r="U2736" s="20" t="s">
        <v>37</v>
      </c>
      <c r="V2736" s="21" t="s">
        <v>86</v>
      </c>
      <c r="W2736" s="22">
        <v>5</v>
      </c>
      <c r="X2736" s="23"/>
    </row>
    <row r="2737" spans="1:24" s="1" customFormat="1" ht="26.1" customHeight="1" x14ac:dyDescent="0.3">
      <c r="A2737" s="24" t="s">
        <v>23</v>
      </c>
      <c r="B2737" s="24" t="s">
        <v>3061</v>
      </c>
      <c r="C2737" s="12" t="s">
        <v>3065</v>
      </c>
      <c r="D2737" s="54"/>
      <c r="E2737" s="39" t="str">
        <f>HYPERLINK("https://www.google.ru/search?q=1383648-498&amp;newwindow=1&amp;tbm=isch","Еще фото")</f>
        <v>Еще фото</v>
      </c>
      <c r="F2737" s="13"/>
      <c r="G2737" s="24" t="s">
        <v>2788</v>
      </c>
      <c r="H2737" s="24" t="s">
        <v>27</v>
      </c>
      <c r="I2737" s="24" t="s">
        <v>2784</v>
      </c>
      <c r="J2737" s="14" t="s">
        <v>47</v>
      </c>
      <c r="K2737" s="15" t="s">
        <v>64</v>
      </c>
      <c r="L2737" s="57"/>
      <c r="M2737" s="14"/>
      <c r="N2737" s="14" t="s">
        <v>91</v>
      </c>
      <c r="O2737" s="14"/>
      <c r="P2737" s="15" t="s">
        <v>2801</v>
      </c>
      <c r="Q2737" s="16">
        <v>2499</v>
      </c>
      <c r="R2737" s="17">
        <v>40</v>
      </c>
      <c r="S2737" s="18">
        <v>1724.31</v>
      </c>
      <c r="T2737" s="19" t="s">
        <v>36</v>
      </c>
      <c r="U2737" s="20" t="s">
        <v>39</v>
      </c>
      <c r="V2737" s="21" t="s">
        <v>38</v>
      </c>
      <c r="W2737" s="22">
        <v>3</v>
      </c>
      <c r="X2737" s="23"/>
    </row>
    <row r="2738" spans="1:24" s="1" customFormat="1" ht="26.1" customHeight="1" x14ac:dyDescent="0.3">
      <c r="A2738" s="24" t="s">
        <v>23</v>
      </c>
      <c r="B2738" s="24" t="s">
        <v>3061</v>
      </c>
      <c r="C2738" s="12" t="s">
        <v>3065</v>
      </c>
      <c r="D2738" s="55"/>
      <c r="E2738" s="39" t="str">
        <f>HYPERLINK("https://www.google.ru/search?q=1383648-498&amp;newwindow=1&amp;tbm=isch","Еще фото")</f>
        <v>Еще фото</v>
      </c>
      <c r="F2738" s="13"/>
      <c r="G2738" s="24" t="s">
        <v>2788</v>
      </c>
      <c r="H2738" s="24" t="s">
        <v>27</v>
      </c>
      <c r="I2738" s="24" t="s">
        <v>2784</v>
      </c>
      <c r="J2738" s="14" t="s">
        <v>47</v>
      </c>
      <c r="K2738" s="15" t="s">
        <v>64</v>
      </c>
      <c r="L2738" s="58"/>
      <c r="M2738" s="14"/>
      <c r="N2738" s="14" t="s">
        <v>91</v>
      </c>
      <c r="O2738" s="14"/>
      <c r="P2738" s="15" t="s">
        <v>2801</v>
      </c>
      <c r="Q2738" s="16">
        <v>2499</v>
      </c>
      <c r="R2738" s="17">
        <v>40</v>
      </c>
      <c r="S2738" s="18">
        <v>1724.31</v>
      </c>
      <c r="T2738" s="19" t="s">
        <v>36</v>
      </c>
      <c r="U2738" s="20" t="s">
        <v>41</v>
      </c>
      <c r="V2738" s="21" t="s">
        <v>40</v>
      </c>
      <c r="W2738" s="22">
        <v>5</v>
      </c>
      <c r="X2738" s="23"/>
    </row>
    <row r="2739" spans="1:24" s="1" customFormat="1" ht="51.95" customHeight="1" x14ac:dyDescent="0.3">
      <c r="A2739" s="11" t="s">
        <v>23</v>
      </c>
      <c r="B2739" s="11" t="s">
        <v>3066</v>
      </c>
      <c r="C2739" s="12" t="s">
        <v>3067</v>
      </c>
      <c r="D2739" s="59"/>
      <c r="E2739" s="39" t="str">
        <f>HYPERLINK("https://www.google.ru/search?q=1383715-414&amp;newwindow=1&amp;tbm=isch","Еще фото")</f>
        <v>Еще фото</v>
      </c>
      <c r="F2739" s="13"/>
      <c r="G2739" s="11" t="s">
        <v>2804</v>
      </c>
      <c r="H2739" s="11" t="s">
        <v>27</v>
      </c>
      <c r="I2739" s="14" t="s">
        <v>2784</v>
      </c>
      <c r="J2739" s="14" t="s">
        <v>212</v>
      </c>
      <c r="K2739" s="15" t="s">
        <v>30</v>
      </c>
      <c r="L2739" s="56" t="s">
        <v>3068</v>
      </c>
      <c r="M2739" s="14"/>
      <c r="N2739" s="14" t="s">
        <v>91</v>
      </c>
      <c r="O2739" s="14"/>
      <c r="P2739" s="15" t="s">
        <v>779</v>
      </c>
      <c r="Q2739" s="16">
        <v>8199</v>
      </c>
      <c r="R2739" s="17">
        <v>40</v>
      </c>
      <c r="S2739" s="18">
        <v>5657.3099999999995</v>
      </c>
      <c r="T2739" s="19" t="s">
        <v>36</v>
      </c>
      <c r="U2739" s="20" t="s">
        <v>37</v>
      </c>
      <c r="V2739" s="21" t="s">
        <v>38</v>
      </c>
      <c r="W2739" s="22">
        <v>1</v>
      </c>
      <c r="X2739" s="23"/>
    </row>
    <row r="2740" spans="1:24" s="1" customFormat="1" ht="60.95" customHeight="1" x14ac:dyDescent="0.3">
      <c r="A2740" s="24" t="s">
        <v>23</v>
      </c>
      <c r="B2740" s="24" t="s">
        <v>3066</v>
      </c>
      <c r="C2740" s="12" t="s">
        <v>3067</v>
      </c>
      <c r="D2740" s="60"/>
      <c r="E2740" s="39" t="str">
        <f>HYPERLINK("https://www.google.ru/search?q=1383715-414&amp;newwindow=1&amp;tbm=isch","Еще фото")</f>
        <v>Еще фото</v>
      </c>
      <c r="F2740" s="13"/>
      <c r="G2740" s="24" t="s">
        <v>2804</v>
      </c>
      <c r="H2740" s="24" t="s">
        <v>27</v>
      </c>
      <c r="I2740" s="24" t="s">
        <v>2784</v>
      </c>
      <c r="J2740" s="14" t="s">
        <v>212</v>
      </c>
      <c r="K2740" s="15" t="s">
        <v>30</v>
      </c>
      <c r="L2740" s="58"/>
      <c r="M2740" s="14"/>
      <c r="N2740" s="14" t="s">
        <v>91</v>
      </c>
      <c r="O2740" s="14"/>
      <c r="P2740" s="15" t="s">
        <v>779</v>
      </c>
      <c r="Q2740" s="16">
        <v>8199</v>
      </c>
      <c r="R2740" s="17">
        <v>40</v>
      </c>
      <c r="S2740" s="18">
        <v>5657.3099999999995</v>
      </c>
      <c r="T2740" s="19" t="s">
        <v>36</v>
      </c>
      <c r="U2740" s="20" t="s">
        <v>39</v>
      </c>
      <c r="V2740" s="21" t="s">
        <v>40</v>
      </c>
      <c r="W2740" s="22">
        <v>5</v>
      </c>
      <c r="X2740" s="23"/>
    </row>
    <row r="2741" spans="1:24" s="1" customFormat="1" ht="51.95" customHeight="1" x14ac:dyDescent="0.3">
      <c r="A2741" s="11" t="s">
        <v>23</v>
      </c>
      <c r="B2741" s="11" t="s">
        <v>3069</v>
      </c>
      <c r="C2741" s="12" t="s">
        <v>3070</v>
      </c>
      <c r="D2741" s="59"/>
      <c r="E2741" s="39" t="str">
        <f>HYPERLINK("https://www.google.ru/search?q=1384118-002&amp;newwindow=1&amp;tbm=isch","Еще фото")</f>
        <v>Еще фото</v>
      </c>
      <c r="F2741" s="13" t="s">
        <v>98</v>
      </c>
      <c r="G2741" s="11" t="s">
        <v>2809</v>
      </c>
      <c r="H2741" s="11" t="s">
        <v>27</v>
      </c>
      <c r="I2741" s="14" t="s">
        <v>2784</v>
      </c>
      <c r="J2741" s="14" t="s">
        <v>29</v>
      </c>
      <c r="K2741" s="15" t="s">
        <v>64</v>
      </c>
      <c r="L2741" s="56" t="s">
        <v>3071</v>
      </c>
      <c r="M2741" s="14"/>
      <c r="N2741" s="14" t="s">
        <v>33</v>
      </c>
      <c r="O2741" s="14"/>
      <c r="P2741" s="15" t="s">
        <v>279</v>
      </c>
      <c r="Q2741" s="16">
        <v>6799</v>
      </c>
      <c r="R2741" s="17">
        <v>40</v>
      </c>
      <c r="S2741" s="18">
        <v>4691.3099999999995</v>
      </c>
      <c r="T2741" s="19" t="s">
        <v>36</v>
      </c>
      <c r="U2741" s="20" t="s">
        <v>2811</v>
      </c>
      <c r="V2741" s="21" t="s">
        <v>2812</v>
      </c>
      <c r="W2741" s="22">
        <v>15</v>
      </c>
      <c r="X2741" s="23"/>
    </row>
    <row r="2742" spans="1:24" s="1" customFormat="1" ht="60.95" customHeight="1" x14ac:dyDescent="0.3">
      <c r="A2742" s="24" t="s">
        <v>23</v>
      </c>
      <c r="B2742" s="24" t="s">
        <v>3069</v>
      </c>
      <c r="C2742" s="12" t="s">
        <v>3070</v>
      </c>
      <c r="D2742" s="60"/>
      <c r="E2742" s="39" t="str">
        <f>HYPERLINK("https://www.google.ru/search?q=1384118-002&amp;newwindow=1&amp;tbm=isch","Еще фото")</f>
        <v>Еще фото</v>
      </c>
      <c r="F2742" s="13" t="s">
        <v>98</v>
      </c>
      <c r="G2742" s="24" t="s">
        <v>2809</v>
      </c>
      <c r="H2742" s="24" t="s">
        <v>27</v>
      </c>
      <c r="I2742" s="24" t="s">
        <v>2784</v>
      </c>
      <c r="J2742" s="14" t="s">
        <v>29</v>
      </c>
      <c r="K2742" s="15" t="s">
        <v>64</v>
      </c>
      <c r="L2742" s="58"/>
      <c r="M2742" s="14"/>
      <c r="N2742" s="14" t="s">
        <v>33</v>
      </c>
      <c r="O2742" s="14"/>
      <c r="P2742" s="15" t="s">
        <v>279</v>
      </c>
      <c r="Q2742" s="16">
        <v>6799</v>
      </c>
      <c r="R2742" s="17">
        <v>40</v>
      </c>
      <c r="S2742" s="18">
        <v>4691.3099999999995</v>
      </c>
      <c r="T2742" s="19" t="s">
        <v>36</v>
      </c>
      <c r="U2742" s="20" t="s">
        <v>3072</v>
      </c>
      <c r="V2742" s="21" t="s">
        <v>3073</v>
      </c>
      <c r="W2742" s="22">
        <v>3</v>
      </c>
      <c r="X2742" s="23"/>
    </row>
    <row r="2743" spans="1:24" s="1" customFormat="1" ht="108" customHeight="1" x14ac:dyDescent="0.3">
      <c r="A2743" s="11" t="s">
        <v>23</v>
      </c>
      <c r="B2743" s="11" t="s">
        <v>2857</v>
      </c>
      <c r="C2743" s="12" t="s">
        <v>3074</v>
      </c>
      <c r="D2743" s="25"/>
      <c r="E2743" s="39" t="str">
        <f>HYPERLINK("https://www.google.ru/search?q=1384227-014&amp;newwindow=1&amp;tbm=isch","Еще фото")</f>
        <v>Еще фото</v>
      </c>
      <c r="F2743" s="13"/>
      <c r="G2743" s="11" t="s">
        <v>2788</v>
      </c>
      <c r="H2743" s="11" t="s">
        <v>27</v>
      </c>
      <c r="I2743" s="14" t="s">
        <v>2784</v>
      </c>
      <c r="J2743" s="14" t="s">
        <v>29</v>
      </c>
      <c r="K2743" s="15" t="s">
        <v>64</v>
      </c>
      <c r="L2743" s="14" t="s">
        <v>2859</v>
      </c>
      <c r="M2743" s="14"/>
      <c r="N2743" s="14" t="s">
        <v>84</v>
      </c>
      <c r="O2743" s="14"/>
      <c r="P2743" s="15" t="s">
        <v>51</v>
      </c>
      <c r="Q2743" s="16">
        <v>2999</v>
      </c>
      <c r="R2743" s="17">
        <v>40</v>
      </c>
      <c r="S2743" s="18">
        <v>2069.31</v>
      </c>
      <c r="T2743" s="19" t="s">
        <v>36</v>
      </c>
      <c r="U2743" s="20" t="s">
        <v>37</v>
      </c>
      <c r="V2743" s="21" t="s">
        <v>86</v>
      </c>
      <c r="W2743" s="22">
        <v>1</v>
      </c>
      <c r="X2743" s="23"/>
    </row>
    <row r="2744" spans="1:24" s="1" customFormat="1" ht="35.1" customHeight="1" x14ac:dyDescent="0.3">
      <c r="A2744" s="11" t="s">
        <v>23</v>
      </c>
      <c r="B2744" s="11" t="s">
        <v>2857</v>
      </c>
      <c r="C2744" s="12" t="s">
        <v>3075</v>
      </c>
      <c r="D2744" s="53"/>
      <c r="E2744" s="39" t="str">
        <f>HYPERLINK("https://www.google.ru/search?q=1384227-425&amp;newwindow=1&amp;tbm=isch","Еще фото")</f>
        <v>Еще фото</v>
      </c>
      <c r="F2744" s="13"/>
      <c r="G2744" s="11" t="s">
        <v>2788</v>
      </c>
      <c r="H2744" s="11" t="s">
        <v>27</v>
      </c>
      <c r="I2744" s="14" t="s">
        <v>2784</v>
      </c>
      <c r="J2744" s="14" t="s">
        <v>29</v>
      </c>
      <c r="K2744" s="15" t="s">
        <v>64</v>
      </c>
      <c r="L2744" s="56" t="s">
        <v>2859</v>
      </c>
      <c r="M2744" s="14"/>
      <c r="N2744" s="14" t="s">
        <v>50</v>
      </c>
      <c r="O2744" s="14"/>
      <c r="P2744" s="15" t="s">
        <v>51</v>
      </c>
      <c r="Q2744" s="16">
        <v>2999</v>
      </c>
      <c r="R2744" s="17">
        <v>40</v>
      </c>
      <c r="S2744" s="18">
        <v>2069.31</v>
      </c>
      <c r="T2744" s="19" t="s">
        <v>36</v>
      </c>
      <c r="U2744" s="20" t="s">
        <v>69</v>
      </c>
      <c r="V2744" s="21" t="s">
        <v>70</v>
      </c>
      <c r="W2744" s="22">
        <v>6</v>
      </c>
      <c r="X2744" s="23"/>
    </row>
    <row r="2745" spans="1:24" s="1" customFormat="1" ht="35.1" customHeight="1" x14ac:dyDescent="0.3">
      <c r="A2745" s="24" t="s">
        <v>23</v>
      </c>
      <c r="B2745" s="24" t="s">
        <v>2857</v>
      </c>
      <c r="C2745" s="12" t="s">
        <v>3075</v>
      </c>
      <c r="D2745" s="54"/>
      <c r="E2745" s="39" t="str">
        <f>HYPERLINK("https://www.google.ru/search?q=1384227-425&amp;newwindow=1&amp;tbm=isch","Еще фото")</f>
        <v>Еще фото</v>
      </c>
      <c r="F2745" s="13"/>
      <c r="G2745" s="24" t="s">
        <v>2788</v>
      </c>
      <c r="H2745" s="24" t="s">
        <v>27</v>
      </c>
      <c r="I2745" s="24" t="s">
        <v>2784</v>
      </c>
      <c r="J2745" s="14" t="s">
        <v>29</v>
      </c>
      <c r="K2745" s="15" t="s">
        <v>64</v>
      </c>
      <c r="L2745" s="57"/>
      <c r="M2745" s="14"/>
      <c r="N2745" s="14" t="s">
        <v>50</v>
      </c>
      <c r="O2745" s="14"/>
      <c r="P2745" s="15" t="s">
        <v>51</v>
      </c>
      <c r="Q2745" s="16">
        <v>2999</v>
      </c>
      <c r="R2745" s="17">
        <v>40</v>
      </c>
      <c r="S2745" s="18">
        <v>2069.31</v>
      </c>
      <c r="T2745" s="19" t="s">
        <v>36</v>
      </c>
      <c r="U2745" s="20" t="s">
        <v>37</v>
      </c>
      <c r="V2745" s="21" t="s">
        <v>86</v>
      </c>
      <c r="W2745" s="22">
        <v>1</v>
      </c>
      <c r="X2745" s="23"/>
    </row>
    <row r="2746" spans="1:24" s="1" customFormat="1" ht="36.950000000000003" customHeight="1" x14ac:dyDescent="0.3">
      <c r="A2746" s="24" t="s">
        <v>23</v>
      </c>
      <c r="B2746" s="24" t="s">
        <v>2857</v>
      </c>
      <c r="C2746" s="12" t="s">
        <v>3075</v>
      </c>
      <c r="D2746" s="55"/>
      <c r="E2746" s="39" t="str">
        <f>HYPERLINK("https://www.google.ru/search?q=1384227-425&amp;newwindow=1&amp;tbm=isch","Еще фото")</f>
        <v>Еще фото</v>
      </c>
      <c r="F2746" s="13"/>
      <c r="G2746" s="24" t="s">
        <v>2788</v>
      </c>
      <c r="H2746" s="24" t="s">
        <v>27</v>
      </c>
      <c r="I2746" s="24" t="s">
        <v>2784</v>
      </c>
      <c r="J2746" s="14" t="s">
        <v>29</v>
      </c>
      <c r="K2746" s="15" t="s">
        <v>64</v>
      </c>
      <c r="L2746" s="58"/>
      <c r="M2746" s="14"/>
      <c r="N2746" s="14" t="s">
        <v>50</v>
      </c>
      <c r="O2746" s="14"/>
      <c r="P2746" s="15" t="s">
        <v>51</v>
      </c>
      <c r="Q2746" s="16">
        <v>2999</v>
      </c>
      <c r="R2746" s="17">
        <v>40</v>
      </c>
      <c r="S2746" s="18">
        <v>2069.31</v>
      </c>
      <c r="T2746" s="19" t="s">
        <v>36</v>
      </c>
      <c r="U2746" s="20" t="s">
        <v>39</v>
      </c>
      <c r="V2746" s="21" t="s">
        <v>38</v>
      </c>
      <c r="W2746" s="22">
        <v>2</v>
      </c>
      <c r="X2746" s="23"/>
    </row>
    <row r="2747" spans="1:24" s="1" customFormat="1" ht="35.1" customHeight="1" x14ac:dyDescent="0.3">
      <c r="A2747" s="11" t="s">
        <v>23</v>
      </c>
      <c r="B2747" s="11" t="s">
        <v>3076</v>
      </c>
      <c r="C2747" s="12" t="s">
        <v>3077</v>
      </c>
      <c r="D2747" s="53"/>
      <c r="E2747" s="39" t="str">
        <f>HYPERLINK("https://www.google.ru/search?q=1384229-100&amp;newwindow=1&amp;tbm=isch","Еще фото")</f>
        <v>Еще фото</v>
      </c>
      <c r="F2747" s="13" t="s">
        <v>98</v>
      </c>
      <c r="G2747" s="11" t="s">
        <v>2788</v>
      </c>
      <c r="H2747" s="11" t="s">
        <v>27</v>
      </c>
      <c r="I2747" s="14" t="s">
        <v>2784</v>
      </c>
      <c r="J2747" s="14" t="s">
        <v>29</v>
      </c>
      <c r="K2747" s="15" t="s">
        <v>64</v>
      </c>
      <c r="L2747" s="56" t="s">
        <v>3078</v>
      </c>
      <c r="M2747" s="14"/>
      <c r="N2747" s="14" t="s">
        <v>74</v>
      </c>
      <c r="O2747" s="14"/>
      <c r="P2747" s="15" t="s">
        <v>133</v>
      </c>
      <c r="Q2747" s="16">
        <v>2999</v>
      </c>
      <c r="R2747" s="17">
        <v>40</v>
      </c>
      <c r="S2747" s="18">
        <v>2069.31</v>
      </c>
      <c r="T2747" s="19" t="s">
        <v>36</v>
      </c>
      <c r="U2747" s="20" t="s">
        <v>69</v>
      </c>
      <c r="V2747" s="21" t="s">
        <v>70</v>
      </c>
      <c r="W2747" s="22">
        <v>6</v>
      </c>
      <c r="X2747" s="23"/>
    </row>
    <row r="2748" spans="1:24" s="1" customFormat="1" ht="35.1" customHeight="1" x14ac:dyDescent="0.3">
      <c r="A2748" s="24" t="s">
        <v>23</v>
      </c>
      <c r="B2748" s="24" t="s">
        <v>3076</v>
      </c>
      <c r="C2748" s="12" t="s">
        <v>3077</v>
      </c>
      <c r="D2748" s="54"/>
      <c r="E2748" s="39" t="str">
        <f>HYPERLINK("https://www.google.ru/search?q=1384229-100&amp;newwindow=1&amp;tbm=isch","Еще фото")</f>
        <v>Еще фото</v>
      </c>
      <c r="F2748" s="13" t="s">
        <v>98</v>
      </c>
      <c r="G2748" s="24" t="s">
        <v>2788</v>
      </c>
      <c r="H2748" s="24" t="s">
        <v>27</v>
      </c>
      <c r="I2748" s="24" t="s">
        <v>2784</v>
      </c>
      <c r="J2748" s="14" t="s">
        <v>29</v>
      </c>
      <c r="K2748" s="15" t="s">
        <v>64</v>
      </c>
      <c r="L2748" s="57"/>
      <c r="M2748" s="14"/>
      <c r="N2748" s="14" t="s">
        <v>74</v>
      </c>
      <c r="O2748" s="14"/>
      <c r="P2748" s="15" t="s">
        <v>133</v>
      </c>
      <c r="Q2748" s="16">
        <v>2999</v>
      </c>
      <c r="R2748" s="17">
        <v>40</v>
      </c>
      <c r="S2748" s="18">
        <v>2069.31</v>
      </c>
      <c r="T2748" s="19" t="s">
        <v>36</v>
      </c>
      <c r="U2748" s="20" t="s">
        <v>37</v>
      </c>
      <c r="V2748" s="21" t="s">
        <v>86</v>
      </c>
      <c r="W2748" s="22">
        <v>1</v>
      </c>
      <c r="X2748" s="23"/>
    </row>
    <row r="2749" spans="1:24" s="1" customFormat="1" ht="36.950000000000003" customHeight="1" x14ac:dyDescent="0.3">
      <c r="A2749" s="24" t="s">
        <v>23</v>
      </c>
      <c r="B2749" s="24" t="s">
        <v>3076</v>
      </c>
      <c r="C2749" s="12" t="s">
        <v>3077</v>
      </c>
      <c r="D2749" s="55"/>
      <c r="E2749" s="39" t="str">
        <f>HYPERLINK("https://www.google.ru/search?q=1384229-100&amp;newwindow=1&amp;tbm=isch","Еще фото")</f>
        <v>Еще фото</v>
      </c>
      <c r="F2749" s="13" t="s">
        <v>98</v>
      </c>
      <c r="G2749" s="24" t="s">
        <v>2788</v>
      </c>
      <c r="H2749" s="24" t="s">
        <v>27</v>
      </c>
      <c r="I2749" s="24" t="s">
        <v>2784</v>
      </c>
      <c r="J2749" s="14" t="s">
        <v>29</v>
      </c>
      <c r="K2749" s="15" t="s">
        <v>64</v>
      </c>
      <c r="L2749" s="58"/>
      <c r="M2749" s="14"/>
      <c r="N2749" s="14" t="s">
        <v>74</v>
      </c>
      <c r="O2749" s="14"/>
      <c r="P2749" s="15" t="s">
        <v>133</v>
      </c>
      <c r="Q2749" s="16">
        <v>2999</v>
      </c>
      <c r="R2749" s="17">
        <v>40</v>
      </c>
      <c r="S2749" s="18">
        <v>2069.31</v>
      </c>
      <c r="T2749" s="19" t="s">
        <v>36</v>
      </c>
      <c r="U2749" s="20" t="s">
        <v>39</v>
      </c>
      <c r="V2749" s="21" t="s">
        <v>38</v>
      </c>
      <c r="W2749" s="22">
        <v>2</v>
      </c>
      <c r="X2749" s="23"/>
    </row>
    <row r="2750" spans="1:24" s="1" customFormat="1" ht="108" customHeight="1" x14ac:dyDescent="0.3">
      <c r="A2750" s="11" t="s">
        <v>23</v>
      </c>
      <c r="B2750" s="11" t="s">
        <v>3079</v>
      </c>
      <c r="C2750" s="12" t="s">
        <v>3080</v>
      </c>
      <c r="D2750" s="25"/>
      <c r="E2750" s="39" t="str">
        <f>HYPERLINK("https://www.google.ru/search?q=1384230-001&amp;newwindow=1&amp;tbm=isch","Еще фото")</f>
        <v>Еще фото</v>
      </c>
      <c r="F2750" s="13"/>
      <c r="G2750" s="11" t="s">
        <v>2788</v>
      </c>
      <c r="H2750" s="11" t="s">
        <v>27</v>
      </c>
      <c r="I2750" s="14" t="s">
        <v>2784</v>
      </c>
      <c r="J2750" s="14" t="s">
        <v>29</v>
      </c>
      <c r="K2750" s="15" t="s">
        <v>64</v>
      </c>
      <c r="L2750" s="14" t="s">
        <v>3081</v>
      </c>
      <c r="M2750" s="14"/>
      <c r="N2750" s="14" t="s">
        <v>84</v>
      </c>
      <c r="O2750" s="14"/>
      <c r="P2750" s="15" t="s">
        <v>133</v>
      </c>
      <c r="Q2750" s="16">
        <v>2799</v>
      </c>
      <c r="R2750" s="17">
        <v>40</v>
      </c>
      <c r="S2750" s="18">
        <v>1931.31</v>
      </c>
      <c r="T2750" s="19" t="s">
        <v>36</v>
      </c>
      <c r="U2750" s="20" t="s">
        <v>69</v>
      </c>
      <c r="V2750" s="21" t="s">
        <v>70</v>
      </c>
      <c r="W2750" s="22">
        <v>7</v>
      </c>
      <c r="X2750" s="23"/>
    </row>
    <row r="2751" spans="1:24" s="1" customFormat="1" ht="35.1" customHeight="1" x14ac:dyDescent="0.3">
      <c r="A2751" s="11" t="s">
        <v>23</v>
      </c>
      <c r="B2751" s="11" t="s">
        <v>3079</v>
      </c>
      <c r="C2751" s="12" t="s">
        <v>3082</v>
      </c>
      <c r="D2751" s="53"/>
      <c r="E2751" s="39" t="str">
        <f>HYPERLINK("https://www.google.ru/search?q=1384230-338&amp;newwindow=1&amp;tbm=isch","Еще фото")</f>
        <v>Еще фото</v>
      </c>
      <c r="F2751" s="13"/>
      <c r="G2751" s="11" t="s">
        <v>2788</v>
      </c>
      <c r="H2751" s="11" t="s">
        <v>27</v>
      </c>
      <c r="I2751" s="14" t="s">
        <v>2784</v>
      </c>
      <c r="J2751" s="14" t="s">
        <v>29</v>
      </c>
      <c r="K2751" s="15" t="s">
        <v>64</v>
      </c>
      <c r="L2751" s="56"/>
      <c r="M2751" s="14"/>
      <c r="N2751" s="14" t="s">
        <v>125</v>
      </c>
      <c r="O2751" s="14"/>
      <c r="P2751" s="15" t="s">
        <v>51</v>
      </c>
      <c r="Q2751" s="16">
        <v>2799</v>
      </c>
      <c r="R2751" s="17">
        <v>40</v>
      </c>
      <c r="S2751" s="18">
        <v>1931.31</v>
      </c>
      <c r="T2751" s="19" t="s">
        <v>36</v>
      </c>
      <c r="U2751" s="20" t="s">
        <v>69</v>
      </c>
      <c r="V2751" s="21" t="s">
        <v>70</v>
      </c>
      <c r="W2751" s="22">
        <v>11</v>
      </c>
      <c r="X2751" s="23"/>
    </row>
    <row r="2752" spans="1:24" s="1" customFormat="1" ht="35.1" customHeight="1" x14ac:dyDescent="0.3">
      <c r="A2752" s="24" t="s">
        <v>23</v>
      </c>
      <c r="B2752" s="24" t="s">
        <v>3079</v>
      </c>
      <c r="C2752" s="12" t="s">
        <v>3082</v>
      </c>
      <c r="D2752" s="54"/>
      <c r="E2752" s="39" t="str">
        <f>HYPERLINK("https://www.google.ru/search?q=1384230-338&amp;newwindow=1&amp;tbm=isch","Еще фото")</f>
        <v>Еще фото</v>
      </c>
      <c r="F2752" s="13"/>
      <c r="G2752" s="24" t="s">
        <v>2788</v>
      </c>
      <c r="H2752" s="24" t="s">
        <v>27</v>
      </c>
      <c r="I2752" s="24" t="s">
        <v>2784</v>
      </c>
      <c r="J2752" s="14" t="s">
        <v>29</v>
      </c>
      <c r="K2752" s="15" t="s">
        <v>64</v>
      </c>
      <c r="L2752" s="57"/>
      <c r="M2752" s="14"/>
      <c r="N2752" s="14" t="s">
        <v>125</v>
      </c>
      <c r="O2752" s="14"/>
      <c r="P2752" s="15" t="s">
        <v>51</v>
      </c>
      <c r="Q2752" s="16">
        <v>2799</v>
      </c>
      <c r="R2752" s="17">
        <v>40</v>
      </c>
      <c r="S2752" s="18">
        <v>1931.31</v>
      </c>
      <c r="T2752" s="19" t="s">
        <v>36</v>
      </c>
      <c r="U2752" s="20" t="s">
        <v>37</v>
      </c>
      <c r="V2752" s="21" t="s">
        <v>86</v>
      </c>
      <c r="W2752" s="22">
        <v>1</v>
      </c>
      <c r="X2752" s="23"/>
    </row>
    <row r="2753" spans="1:24" s="1" customFormat="1" ht="36.950000000000003" customHeight="1" x14ac:dyDescent="0.3">
      <c r="A2753" s="24" t="s">
        <v>23</v>
      </c>
      <c r="B2753" s="24" t="s">
        <v>3079</v>
      </c>
      <c r="C2753" s="12" t="s">
        <v>3082</v>
      </c>
      <c r="D2753" s="55"/>
      <c r="E2753" s="39" t="str">
        <f>HYPERLINK("https://www.google.ru/search?q=1384230-338&amp;newwindow=1&amp;tbm=isch","Еще фото")</f>
        <v>Еще фото</v>
      </c>
      <c r="F2753" s="13"/>
      <c r="G2753" s="24" t="s">
        <v>2788</v>
      </c>
      <c r="H2753" s="24" t="s">
        <v>27</v>
      </c>
      <c r="I2753" s="24" t="s">
        <v>2784</v>
      </c>
      <c r="J2753" s="14" t="s">
        <v>29</v>
      </c>
      <c r="K2753" s="15" t="s">
        <v>64</v>
      </c>
      <c r="L2753" s="58"/>
      <c r="M2753" s="14"/>
      <c r="N2753" s="14" t="s">
        <v>125</v>
      </c>
      <c r="O2753" s="14"/>
      <c r="P2753" s="15" t="s">
        <v>51</v>
      </c>
      <c r="Q2753" s="16">
        <v>2799</v>
      </c>
      <c r="R2753" s="17">
        <v>40</v>
      </c>
      <c r="S2753" s="18">
        <v>1931.31</v>
      </c>
      <c r="T2753" s="19" t="s">
        <v>36</v>
      </c>
      <c r="U2753" s="20" t="s">
        <v>39</v>
      </c>
      <c r="V2753" s="21" t="s">
        <v>38</v>
      </c>
      <c r="W2753" s="22">
        <v>2</v>
      </c>
      <c r="X2753" s="23"/>
    </row>
    <row r="2754" spans="1:24" s="1" customFormat="1" ht="51.95" customHeight="1" x14ac:dyDescent="0.3">
      <c r="A2754" s="11" t="s">
        <v>23</v>
      </c>
      <c r="B2754" s="11" t="s">
        <v>3079</v>
      </c>
      <c r="C2754" s="12" t="s">
        <v>3083</v>
      </c>
      <c r="D2754" s="59"/>
      <c r="E2754" s="39" t="str">
        <f>HYPERLINK("https://www.google.ru/search?q=1384230-453&amp;newwindow=1&amp;tbm=isch","Еще фото")</f>
        <v>Еще фото</v>
      </c>
      <c r="F2754" s="13"/>
      <c r="G2754" s="11" t="s">
        <v>2788</v>
      </c>
      <c r="H2754" s="11" t="s">
        <v>27</v>
      </c>
      <c r="I2754" s="14" t="s">
        <v>2784</v>
      </c>
      <c r="J2754" s="14" t="s">
        <v>29</v>
      </c>
      <c r="K2754" s="15" t="s">
        <v>64</v>
      </c>
      <c r="L2754" s="56"/>
      <c r="M2754" s="14"/>
      <c r="N2754" s="14" t="s">
        <v>91</v>
      </c>
      <c r="O2754" s="14"/>
      <c r="P2754" s="15" t="s">
        <v>51</v>
      </c>
      <c r="Q2754" s="16">
        <v>2799</v>
      </c>
      <c r="R2754" s="17">
        <v>40</v>
      </c>
      <c r="S2754" s="18">
        <v>1931.31</v>
      </c>
      <c r="T2754" s="19" t="s">
        <v>36</v>
      </c>
      <c r="U2754" s="20" t="s">
        <v>69</v>
      </c>
      <c r="V2754" s="21" t="s">
        <v>70</v>
      </c>
      <c r="W2754" s="22">
        <v>10</v>
      </c>
      <c r="X2754" s="23"/>
    </row>
    <row r="2755" spans="1:24" s="1" customFormat="1" ht="60.95" customHeight="1" x14ac:dyDescent="0.3">
      <c r="A2755" s="24" t="s">
        <v>23</v>
      </c>
      <c r="B2755" s="24" t="s">
        <v>3079</v>
      </c>
      <c r="C2755" s="12" t="s">
        <v>3083</v>
      </c>
      <c r="D2755" s="60"/>
      <c r="E2755" s="39" t="str">
        <f>HYPERLINK("https://www.google.ru/search?q=1384230-453&amp;newwindow=1&amp;tbm=isch","Еще фото")</f>
        <v>Еще фото</v>
      </c>
      <c r="F2755" s="13"/>
      <c r="G2755" s="24" t="s">
        <v>2788</v>
      </c>
      <c r="H2755" s="24" t="s">
        <v>27</v>
      </c>
      <c r="I2755" s="24" t="s">
        <v>2784</v>
      </c>
      <c r="J2755" s="14" t="s">
        <v>29</v>
      </c>
      <c r="K2755" s="15" t="s">
        <v>64</v>
      </c>
      <c r="L2755" s="58"/>
      <c r="M2755" s="14"/>
      <c r="N2755" s="14" t="s">
        <v>91</v>
      </c>
      <c r="O2755" s="14"/>
      <c r="P2755" s="15" t="s">
        <v>51</v>
      </c>
      <c r="Q2755" s="16">
        <v>2799</v>
      </c>
      <c r="R2755" s="17">
        <v>40</v>
      </c>
      <c r="S2755" s="18">
        <v>1931.31</v>
      </c>
      <c r="T2755" s="19" t="s">
        <v>36</v>
      </c>
      <c r="U2755" s="20" t="s">
        <v>39</v>
      </c>
      <c r="V2755" s="21" t="s">
        <v>38</v>
      </c>
      <c r="W2755" s="22">
        <v>1</v>
      </c>
      <c r="X2755" s="23"/>
    </row>
    <row r="2756" spans="1:24" s="1" customFormat="1" ht="51.95" customHeight="1" x14ac:dyDescent="0.3">
      <c r="A2756" s="11" t="s">
        <v>23</v>
      </c>
      <c r="B2756" s="11" t="s">
        <v>3079</v>
      </c>
      <c r="C2756" s="12" t="s">
        <v>3084</v>
      </c>
      <c r="D2756" s="59"/>
      <c r="E2756" s="39" t="str">
        <f>HYPERLINK("https://www.google.ru/search?q=1384230-703&amp;newwindow=1&amp;tbm=isch","Еще фото")</f>
        <v>Еще фото</v>
      </c>
      <c r="F2756" s="13"/>
      <c r="G2756" s="11" t="s">
        <v>2788</v>
      </c>
      <c r="H2756" s="11" t="s">
        <v>27</v>
      </c>
      <c r="I2756" s="14" t="s">
        <v>2784</v>
      </c>
      <c r="J2756" s="14" t="s">
        <v>29</v>
      </c>
      <c r="K2756" s="15" t="s">
        <v>64</v>
      </c>
      <c r="L2756" s="56" t="s">
        <v>3081</v>
      </c>
      <c r="M2756" s="14"/>
      <c r="N2756" s="14" t="s">
        <v>50</v>
      </c>
      <c r="O2756" s="14"/>
      <c r="P2756" s="15" t="s">
        <v>51</v>
      </c>
      <c r="Q2756" s="16">
        <v>2799</v>
      </c>
      <c r="R2756" s="17">
        <v>40</v>
      </c>
      <c r="S2756" s="18">
        <v>1931.31</v>
      </c>
      <c r="T2756" s="19" t="s">
        <v>36</v>
      </c>
      <c r="U2756" s="20" t="s">
        <v>69</v>
      </c>
      <c r="V2756" s="21" t="s">
        <v>70</v>
      </c>
      <c r="W2756" s="22">
        <v>2</v>
      </c>
      <c r="X2756" s="23"/>
    </row>
    <row r="2757" spans="1:24" s="1" customFormat="1" ht="60.95" customHeight="1" x14ac:dyDescent="0.3">
      <c r="A2757" s="24" t="s">
        <v>23</v>
      </c>
      <c r="B2757" s="24" t="s">
        <v>3079</v>
      </c>
      <c r="C2757" s="12" t="s">
        <v>3084</v>
      </c>
      <c r="D2757" s="60"/>
      <c r="E2757" s="39" t="str">
        <f>HYPERLINK("https://www.google.ru/search?q=1384230-703&amp;newwindow=1&amp;tbm=isch","Еще фото")</f>
        <v>Еще фото</v>
      </c>
      <c r="F2757" s="13"/>
      <c r="G2757" s="24" t="s">
        <v>2788</v>
      </c>
      <c r="H2757" s="24" t="s">
        <v>27</v>
      </c>
      <c r="I2757" s="24" t="s">
        <v>2784</v>
      </c>
      <c r="J2757" s="14" t="s">
        <v>29</v>
      </c>
      <c r="K2757" s="15" t="s">
        <v>64</v>
      </c>
      <c r="L2757" s="58"/>
      <c r="M2757" s="14"/>
      <c r="N2757" s="14" t="s">
        <v>50</v>
      </c>
      <c r="O2757" s="14"/>
      <c r="P2757" s="15" t="s">
        <v>51</v>
      </c>
      <c r="Q2757" s="16">
        <v>2799</v>
      </c>
      <c r="R2757" s="17">
        <v>40</v>
      </c>
      <c r="S2757" s="18">
        <v>1931.31</v>
      </c>
      <c r="T2757" s="19" t="s">
        <v>36</v>
      </c>
      <c r="U2757" s="20" t="s">
        <v>41</v>
      </c>
      <c r="V2757" s="21" t="s">
        <v>40</v>
      </c>
      <c r="W2757" s="22">
        <v>8</v>
      </c>
      <c r="X2757" s="23"/>
    </row>
    <row r="2758" spans="1:24" s="1" customFormat="1" ht="26.1" customHeight="1" x14ac:dyDescent="0.3">
      <c r="A2758" s="11" t="s">
        <v>23</v>
      </c>
      <c r="B2758" s="11" t="s">
        <v>3085</v>
      </c>
      <c r="C2758" s="12" t="s">
        <v>3086</v>
      </c>
      <c r="D2758" s="53"/>
      <c r="E2758" s="39" t="str">
        <f>HYPERLINK("https://www.google.ru/search?q=1384231-001&amp;newwindow=1&amp;tbm=isch","Еще фото")</f>
        <v>Еще фото</v>
      </c>
      <c r="F2758" s="13" t="s">
        <v>98</v>
      </c>
      <c r="G2758" s="11" t="s">
        <v>2788</v>
      </c>
      <c r="H2758" s="11" t="s">
        <v>27</v>
      </c>
      <c r="I2758" s="14" t="s">
        <v>2784</v>
      </c>
      <c r="J2758" s="14" t="s">
        <v>29</v>
      </c>
      <c r="K2758" s="15" t="s">
        <v>64</v>
      </c>
      <c r="L2758" s="56" t="s">
        <v>3087</v>
      </c>
      <c r="M2758" s="14"/>
      <c r="N2758" s="14" t="s">
        <v>33</v>
      </c>
      <c r="O2758" s="14"/>
      <c r="P2758" s="15" t="s">
        <v>51</v>
      </c>
      <c r="Q2758" s="16">
        <v>3099</v>
      </c>
      <c r="R2758" s="17">
        <v>40</v>
      </c>
      <c r="S2758" s="18">
        <v>2138.31</v>
      </c>
      <c r="T2758" s="19" t="s">
        <v>36</v>
      </c>
      <c r="U2758" s="20" t="s">
        <v>69</v>
      </c>
      <c r="V2758" s="21" t="s">
        <v>70</v>
      </c>
      <c r="W2758" s="22">
        <v>3</v>
      </c>
      <c r="X2758" s="23"/>
    </row>
    <row r="2759" spans="1:24" s="1" customFormat="1" ht="26.1" customHeight="1" x14ac:dyDescent="0.3">
      <c r="A2759" s="24" t="s">
        <v>23</v>
      </c>
      <c r="B2759" s="24" t="s">
        <v>3085</v>
      </c>
      <c r="C2759" s="12" t="s">
        <v>3086</v>
      </c>
      <c r="D2759" s="54"/>
      <c r="E2759" s="39" t="str">
        <f>HYPERLINK("https://www.google.ru/search?q=1384231-001&amp;newwindow=1&amp;tbm=isch","Еще фото")</f>
        <v>Еще фото</v>
      </c>
      <c r="F2759" s="13" t="s">
        <v>98</v>
      </c>
      <c r="G2759" s="24" t="s">
        <v>2788</v>
      </c>
      <c r="H2759" s="24" t="s">
        <v>27</v>
      </c>
      <c r="I2759" s="24" t="s">
        <v>2784</v>
      </c>
      <c r="J2759" s="14" t="s">
        <v>29</v>
      </c>
      <c r="K2759" s="15" t="s">
        <v>64</v>
      </c>
      <c r="L2759" s="57"/>
      <c r="M2759" s="14"/>
      <c r="N2759" s="14" t="s">
        <v>33</v>
      </c>
      <c r="O2759" s="14"/>
      <c r="P2759" s="15" t="s">
        <v>51</v>
      </c>
      <c r="Q2759" s="16">
        <v>3099</v>
      </c>
      <c r="R2759" s="17">
        <v>40</v>
      </c>
      <c r="S2759" s="18">
        <v>2138.31</v>
      </c>
      <c r="T2759" s="19" t="s">
        <v>36</v>
      </c>
      <c r="U2759" s="20" t="s">
        <v>37</v>
      </c>
      <c r="V2759" s="21" t="s">
        <v>86</v>
      </c>
      <c r="W2759" s="22">
        <v>1</v>
      </c>
      <c r="X2759" s="23"/>
    </row>
    <row r="2760" spans="1:24" s="1" customFormat="1" ht="26.1" customHeight="1" x14ac:dyDescent="0.3">
      <c r="A2760" s="24" t="s">
        <v>23</v>
      </c>
      <c r="B2760" s="24" t="s">
        <v>3085</v>
      </c>
      <c r="C2760" s="12" t="s">
        <v>3086</v>
      </c>
      <c r="D2760" s="54"/>
      <c r="E2760" s="39" t="str">
        <f>HYPERLINK("https://www.google.ru/search?q=1384231-001&amp;newwindow=1&amp;tbm=isch","Еще фото")</f>
        <v>Еще фото</v>
      </c>
      <c r="F2760" s="13" t="s">
        <v>98</v>
      </c>
      <c r="G2760" s="24" t="s">
        <v>2788</v>
      </c>
      <c r="H2760" s="24" t="s">
        <v>27</v>
      </c>
      <c r="I2760" s="24" t="s">
        <v>2784</v>
      </c>
      <c r="J2760" s="14" t="s">
        <v>29</v>
      </c>
      <c r="K2760" s="15" t="s">
        <v>64</v>
      </c>
      <c r="L2760" s="57"/>
      <c r="M2760" s="14"/>
      <c r="N2760" s="14" t="s">
        <v>33</v>
      </c>
      <c r="O2760" s="14"/>
      <c r="P2760" s="15" t="s">
        <v>51</v>
      </c>
      <c r="Q2760" s="16">
        <v>3099</v>
      </c>
      <c r="R2760" s="17">
        <v>40</v>
      </c>
      <c r="S2760" s="18">
        <v>2138.31</v>
      </c>
      <c r="T2760" s="19" t="s">
        <v>36</v>
      </c>
      <c r="U2760" s="20" t="s">
        <v>39</v>
      </c>
      <c r="V2760" s="21" t="s">
        <v>38</v>
      </c>
      <c r="W2760" s="22">
        <v>1</v>
      </c>
      <c r="X2760" s="23"/>
    </row>
    <row r="2761" spans="1:24" s="1" customFormat="1" ht="26.1" customHeight="1" x14ac:dyDescent="0.3">
      <c r="A2761" s="24" t="s">
        <v>23</v>
      </c>
      <c r="B2761" s="24" t="s">
        <v>3085</v>
      </c>
      <c r="C2761" s="12" t="s">
        <v>3086</v>
      </c>
      <c r="D2761" s="55"/>
      <c r="E2761" s="39" t="str">
        <f>HYPERLINK("https://www.google.ru/search?q=1384231-001&amp;newwindow=1&amp;tbm=isch","Еще фото")</f>
        <v>Еще фото</v>
      </c>
      <c r="F2761" s="13" t="s">
        <v>98</v>
      </c>
      <c r="G2761" s="24" t="s">
        <v>2788</v>
      </c>
      <c r="H2761" s="24" t="s">
        <v>27</v>
      </c>
      <c r="I2761" s="24" t="s">
        <v>2784</v>
      </c>
      <c r="J2761" s="14" t="s">
        <v>29</v>
      </c>
      <c r="K2761" s="15" t="s">
        <v>64</v>
      </c>
      <c r="L2761" s="58"/>
      <c r="M2761" s="14"/>
      <c r="N2761" s="14" t="s">
        <v>33</v>
      </c>
      <c r="O2761" s="14"/>
      <c r="P2761" s="15" t="s">
        <v>51</v>
      </c>
      <c r="Q2761" s="16">
        <v>3099</v>
      </c>
      <c r="R2761" s="17">
        <v>40</v>
      </c>
      <c r="S2761" s="18">
        <v>2138.31</v>
      </c>
      <c r="T2761" s="19" t="s">
        <v>36</v>
      </c>
      <c r="U2761" s="20" t="s">
        <v>41</v>
      </c>
      <c r="V2761" s="21" t="s">
        <v>40</v>
      </c>
      <c r="W2761" s="22">
        <v>2</v>
      </c>
      <c r="X2761" s="23"/>
    </row>
    <row r="2762" spans="1:24" s="1" customFormat="1" ht="108" customHeight="1" x14ac:dyDescent="0.3">
      <c r="A2762" s="11" t="s">
        <v>23</v>
      </c>
      <c r="B2762" s="11" t="s">
        <v>3085</v>
      </c>
      <c r="C2762" s="12" t="s">
        <v>3088</v>
      </c>
      <c r="D2762" s="25"/>
      <c r="E2762" s="39" t="str">
        <f>HYPERLINK("https://www.google.ru/search?q=1384231-100&amp;newwindow=1&amp;tbm=isch","Еще фото")</f>
        <v>Еще фото</v>
      </c>
      <c r="F2762" s="13"/>
      <c r="G2762" s="11" t="s">
        <v>2788</v>
      </c>
      <c r="H2762" s="11" t="s">
        <v>27</v>
      </c>
      <c r="I2762" s="14" t="s">
        <v>2784</v>
      </c>
      <c r="J2762" s="14" t="s">
        <v>29</v>
      </c>
      <c r="K2762" s="15" t="s">
        <v>64</v>
      </c>
      <c r="L2762" s="14" t="s">
        <v>3089</v>
      </c>
      <c r="M2762" s="14"/>
      <c r="N2762" s="14" t="s">
        <v>74</v>
      </c>
      <c r="O2762" s="14"/>
      <c r="P2762" s="15" t="s">
        <v>51</v>
      </c>
      <c r="Q2762" s="16">
        <v>3099</v>
      </c>
      <c r="R2762" s="17">
        <v>40</v>
      </c>
      <c r="S2762" s="18">
        <v>2138.31</v>
      </c>
      <c r="T2762" s="19" t="s">
        <v>36</v>
      </c>
      <c r="U2762" s="20" t="s">
        <v>39</v>
      </c>
      <c r="V2762" s="21" t="s">
        <v>38</v>
      </c>
      <c r="W2762" s="22">
        <v>1</v>
      </c>
      <c r="X2762" s="23"/>
    </row>
    <row r="2763" spans="1:24" s="1" customFormat="1" ht="108" customHeight="1" x14ac:dyDescent="0.3">
      <c r="A2763" s="11" t="s">
        <v>23</v>
      </c>
      <c r="B2763" s="11" t="s">
        <v>3090</v>
      </c>
      <c r="C2763" s="12" t="s">
        <v>3091</v>
      </c>
      <c r="D2763" s="25"/>
      <c r="E2763" s="39" t="str">
        <f>HYPERLINK("https://www.google.ru/search?q=1384417-001&amp;newwindow=1&amp;tbm=isch","Еще фото")</f>
        <v>Еще фото</v>
      </c>
      <c r="F2763" s="13" t="s">
        <v>98</v>
      </c>
      <c r="G2763" s="11" t="s">
        <v>2809</v>
      </c>
      <c r="H2763" s="11" t="s">
        <v>27</v>
      </c>
      <c r="I2763" s="14" t="s">
        <v>2784</v>
      </c>
      <c r="J2763" s="14" t="s">
        <v>29</v>
      </c>
      <c r="K2763" s="15" t="s">
        <v>64</v>
      </c>
      <c r="L2763" s="14" t="s">
        <v>3092</v>
      </c>
      <c r="M2763" s="14"/>
      <c r="N2763" s="14" t="s">
        <v>33</v>
      </c>
      <c r="O2763" s="14"/>
      <c r="P2763" s="15" t="s">
        <v>2533</v>
      </c>
      <c r="Q2763" s="16">
        <v>4899</v>
      </c>
      <c r="R2763" s="17">
        <v>40</v>
      </c>
      <c r="S2763" s="18">
        <v>3380.31</v>
      </c>
      <c r="T2763" s="19" t="s">
        <v>36</v>
      </c>
      <c r="U2763" s="20" t="s">
        <v>69</v>
      </c>
      <c r="V2763" s="21" t="s">
        <v>70</v>
      </c>
      <c r="W2763" s="22">
        <v>2</v>
      </c>
      <c r="X2763" s="23"/>
    </row>
    <row r="2764" spans="1:24" s="1" customFormat="1" ht="108" customHeight="1" x14ac:dyDescent="0.3">
      <c r="A2764" s="11" t="s">
        <v>23</v>
      </c>
      <c r="B2764" s="11" t="s">
        <v>3090</v>
      </c>
      <c r="C2764" s="12" t="s">
        <v>3093</v>
      </c>
      <c r="D2764" s="25"/>
      <c r="E2764" s="39" t="str">
        <f>HYPERLINK("https://www.google.ru/search?q=1384417-003&amp;newwindow=1&amp;tbm=isch","Еще фото")</f>
        <v>Еще фото</v>
      </c>
      <c r="F2764" s="13"/>
      <c r="G2764" s="11" t="s">
        <v>2809</v>
      </c>
      <c r="H2764" s="11" t="s">
        <v>27</v>
      </c>
      <c r="I2764" s="14" t="s">
        <v>2784</v>
      </c>
      <c r="J2764" s="14" t="s">
        <v>29</v>
      </c>
      <c r="K2764" s="15" t="s">
        <v>64</v>
      </c>
      <c r="L2764" s="14" t="s">
        <v>3092</v>
      </c>
      <c r="M2764" s="14"/>
      <c r="N2764" s="14" t="s">
        <v>33</v>
      </c>
      <c r="O2764" s="14"/>
      <c r="P2764" s="15" t="s">
        <v>779</v>
      </c>
      <c r="Q2764" s="16">
        <v>4899</v>
      </c>
      <c r="R2764" s="17">
        <v>40</v>
      </c>
      <c r="S2764" s="18">
        <v>3380.31</v>
      </c>
      <c r="T2764" s="19" t="s">
        <v>36</v>
      </c>
      <c r="U2764" s="20" t="s">
        <v>69</v>
      </c>
      <c r="V2764" s="21" t="s">
        <v>70</v>
      </c>
      <c r="W2764" s="22">
        <v>1</v>
      </c>
      <c r="X2764" s="23"/>
    </row>
    <row r="2765" spans="1:24" s="1" customFormat="1" ht="35.1" customHeight="1" x14ac:dyDescent="0.3">
      <c r="A2765" s="11" t="s">
        <v>23</v>
      </c>
      <c r="B2765" s="11" t="s">
        <v>3090</v>
      </c>
      <c r="C2765" s="12" t="s">
        <v>3094</v>
      </c>
      <c r="D2765" s="53"/>
      <c r="E2765" s="39" t="str">
        <f>HYPERLINK("https://www.google.ru/search?q=1384417-299&amp;newwindow=1&amp;tbm=isch","Еще фото")</f>
        <v>Еще фото</v>
      </c>
      <c r="F2765" s="13"/>
      <c r="G2765" s="11" t="s">
        <v>2809</v>
      </c>
      <c r="H2765" s="11" t="s">
        <v>27</v>
      </c>
      <c r="I2765" s="14" t="s">
        <v>2784</v>
      </c>
      <c r="J2765" s="14" t="s">
        <v>29</v>
      </c>
      <c r="K2765" s="15" t="s">
        <v>64</v>
      </c>
      <c r="L2765" s="56" t="s">
        <v>3092</v>
      </c>
      <c r="M2765" s="14"/>
      <c r="N2765" s="14" t="s">
        <v>215</v>
      </c>
      <c r="O2765" s="14"/>
      <c r="P2765" s="15" t="s">
        <v>2533</v>
      </c>
      <c r="Q2765" s="16">
        <v>4899</v>
      </c>
      <c r="R2765" s="17">
        <v>40</v>
      </c>
      <c r="S2765" s="18">
        <v>3380.31</v>
      </c>
      <c r="T2765" s="19" t="s">
        <v>36</v>
      </c>
      <c r="U2765" s="20" t="s">
        <v>69</v>
      </c>
      <c r="V2765" s="21" t="s">
        <v>70</v>
      </c>
      <c r="W2765" s="22">
        <v>1</v>
      </c>
      <c r="X2765" s="23"/>
    </row>
    <row r="2766" spans="1:24" s="1" customFormat="1" ht="35.1" customHeight="1" x14ac:dyDescent="0.3">
      <c r="A2766" s="24" t="s">
        <v>23</v>
      </c>
      <c r="B2766" s="24" t="s">
        <v>3090</v>
      </c>
      <c r="C2766" s="12" t="s">
        <v>3094</v>
      </c>
      <c r="D2766" s="54"/>
      <c r="E2766" s="39" t="str">
        <f>HYPERLINK("https://www.google.ru/search?q=1384417-299&amp;newwindow=1&amp;tbm=isch","Еще фото")</f>
        <v>Еще фото</v>
      </c>
      <c r="F2766" s="13"/>
      <c r="G2766" s="24" t="s">
        <v>2809</v>
      </c>
      <c r="H2766" s="24" t="s">
        <v>27</v>
      </c>
      <c r="I2766" s="24" t="s">
        <v>2784</v>
      </c>
      <c r="J2766" s="14" t="s">
        <v>29</v>
      </c>
      <c r="K2766" s="15" t="s">
        <v>64</v>
      </c>
      <c r="L2766" s="57"/>
      <c r="M2766" s="14"/>
      <c r="N2766" s="14" t="s">
        <v>215</v>
      </c>
      <c r="O2766" s="14"/>
      <c r="P2766" s="15" t="s">
        <v>2533</v>
      </c>
      <c r="Q2766" s="16">
        <v>4899</v>
      </c>
      <c r="R2766" s="17">
        <v>40</v>
      </c>
      <c r="S2766" s="18">
        <v>3380.31</v>
      </c>
      <c r="T2766" s="19" t="s">
        <v>36</v>
      </c>
      <c r="U2766" s="20" t="s">
        <v>37</v>
      </c>
      <c r="V2766" s="21" t="s">
        <v>86</v>
      </c>
      <c r="W2766" s="22">
        <v>1</v>
      </c>
      <c r="X2766" s="23"/>
    </row>
    <row r="2767" spans="1:24" s="1" customFormat="1" ht="36.950000000000003" customHeight="1" x14ac:dyDescent="0.3">
      <c r="A2767" s="24" t="s">
        <v>23</v>
      </c>
      <c r="B2767" s="24" t="s">
        <v>3090</v>
      </c>
      <c r="C2767" s="12" t="s">
        <v>3094</v>
      </c>
      <c r="D2767" s="55"/>
      <c r="E2767" s="39" t="str">
        <f>HYPERLINK("https://www.google.ru/search?q=1384417-299&amp;newwindow=1&amp;tbm=isch","Еще фото")</f>
        <v>Еще фото</v>
      </c>
      <c r="F2767" s="13"/>
      <c r="G2767" s="24" t="s">
        <v>2809</v>
      </c>
      <c r="H2767" s="24" t="s">
        <v>27</v>
      </c>
      <c r="I2767" s="24" t="s">
        <v>2784</v>
      </c>
      <c r="J2767" s="14" t="s">
        <v>29</v>
      </c>
      <c r="K2767" s="15" t="s">
        <v>64</v>
      </c>
      <c r="L2767" s="58"/>
      <c r="M2767" s="14"/>
      <c r="N2767" s="14" t="s">
        <v>215</v>
      </c>
      <c r="O2767" s="14"/>
      <c r="P2767" s="15" t="s">
        <v>2533</v>
      </c>
      <c r="Q2767" s="16">
        <v>4899</v>
      </c>
      <c r="R2767" s="17">
        <v>40</v>
      </c>
      <c r="S2767" s="18">
        <v>3380.31</v>
      </c>
      <c r="T2767" s="19" t="s">
        <v>36</v>
      </c>
      <c r="U2767" s="20" t="s">
        <v>41</v>
      </c>
      <c r="V2767" s="21" t="s">
        <v>40</v>
      </c>
      <c r="W2767" s="22">
        <v>1</v>
      </c>
      <c r="X2767" s="23"/>
    </row>
    <row r="2768" spans="1:24" s="1" customFormat="1" ht="51.95" customHeight="1" x14ac:dyDescent="0.3">
      <c r="A2768" s="11" t="s">
        <v>23</v>
      </c>
      <c r="B2768" s="11" t="s">
        <v>3090</v>
      </c>
      <c r="C2768" s="12" t="s">
        <v>3095</v>
      </c>
      <c r="D2768" s="59"/>
      <c r="E2768" s="39" t="str">
        <f>HYPERLINK("https://www.google.ru/search?q=1384417-520&amp;newwindow=1&amp;tbm=isch","Еще фото")</f>
        <v>Еще фото</v>
      </c>
      <c r="F2768" s="13"/>
      <c r="G2768" s="11" t="s">
        <v>2809</v>
      </c>
      <c r="H2768" s="11" t="s">
        <v>27</v>
      </c>
      <c r="I2768" s="14" t="s">
        <v>2784</v>
      </c>
      <c r="J2768" s="14" t="s">
        <v>29</v>
      </c>
      <c r="K2768" s="15" t="s">
        <v>64</v>
      </c>
      <c r="L2768" s="56" t="s">
        <v>3092</v>
      </c>
      <c r="M2768" s="14"/>
      <c r="N2768" s="14" t="s">
        <v>67</v>
      </c>
      <c r="O2768" s="14"/>
      <c r="P2768" s="15" t="s">
        <v>2533</v>
      </c>
      <c r="Q2768" s="16">
        <v>4899</v>
      </c>
      <c r="R2768" s="17">
        <v>40</v>
      </c>
      <c r="S2768" s="18">
        <v>3380.31</v>
      </c>
      <c r="T2768" s="19" t="s">
        <v>36</v>
      </c>
      <c r="U2768" s="20" t="s">
        <v>69</v>
      </c>
      <c r="V2768" s="21" t="s">
        <v>70</v>
      </c>
      <c r="W2768" s="22">
        <v>1</v>
      </c>
      <c r="X2768" s="23"/>
    </row>
    <row r="2769" spans="1:24" s="1" customFormat="1" ht="60.95" customHeight="1" x14ac:dyDescent="0.3">
      <c r="A2769" s="24" t="s">
        <v>23</v>
      </c>
      <c r="B2769" s="24" t="s">
        <v>3090</v>
      </c>
      <c r="C2769" s="12" t="s">
        <v>3095</v>
      </c>
      <c r="D2769" s="60"/>
      <c r="E2769" s="39" t="str">
        <f>HYPERLINK("https://www.google.ru/search?q=1384417-520&amp;newwindow=1&amp;tbm=isch","Еще фото")</f>
        <v>Еще фото</v>
      </c>
      <c r="F2769" s="13"/>
      <c r="G2769" s="24" t="s">
        <v>2809</v>
      </c>
      <c r="H2769" s="24" t="s">
        <v>27</v>
      </c>
      <c r="I2769" s="24" t="s">
        <v>2784</v>
      </c>
      <c r="J2769" s="14" t="s">
        <v>29</v>
      </c>
      <c r="K2769" s="15" t="s">
        <v>64</v>
      </c>
      <c r="L2769" s="58"/>
      <c r="M2769" s="14"/>
      <c r="N2769" s="14" t="s">
        <v>67</v>
      </c>
      <c r="O2769" s="14"/>
      <c r="P2769" s="15" t="s">
        <v>2533</v>
      </c>
      <c r="Q2769" s="16">
        <v>4899</v>
      </c>
      <c r="R2769" s="17">
        <v>40</v>
      </c>
      <c r="S2769" s="18">
        <v>3380.31</v>
      </c>
      <c r="T2769" s="19" t="s">
        <v>36</v>
      </c>
      <c r="U2769" s="20" t="s">
        <v>39</v>
      </c>
      <c r="V2769" s="21" t="s">
        <v>38</v>
      </c>
      <c r="W2769" s="22">
        <v>1</v>
      </c>
      <c r="X2769" s="23"/>
    </row>
    <row r="2770" spans="1:24" s="1" customFormat="1" ht="51.95" customHeight="1" x14ac:dyDescent="0.3">
      <c r="A2770" s="11" t="s">
        <v>23</v>
      </c>
      <c r="B2770" s="11" t="s">
        <v>3090</v>
      </c>
      <c r="C2770" s="12" t="s">
        <v>3096</v>
      </c>
      <c r="D2770" s="59"/>
      <c r="E2770" s="39" t="str">
        <f>HYPERLINK("https://www.google.ru/search?q=1384417-659&amp;newwindow=1&amp;tbm=isch","Еще фото")</f>
        <v>Еще фото</v>
      </c>
      <c r="F2770" s="13"/>
      <c r="G2770" s="11" t="s">
        <v>2809</v>
      </c>
      <c r="H2770" s="11" t="s">
        <v>27</v>
      </c>
      <c r="I2770" s="14" t="s">
        <v>2784</v>
      </c>
      <c r="J2770" s="14" t="s">
        <v>29</v>
      </c>
      <c r="K2770" s="15" t="s">
        <v>64</v>
      </c>
      <c r="L2770" s="56" t="s">
        <v>3092</v>
      </c>
      <c r="M2770" s="14"/>
      <c r="N2770" s="14" t="s">
        <v>57</v>
      </c>
      <c r="O2770" s="14"/>
      <c r="P2770" s="15" t="s">
        <v>779</v>
      </c>
      <c r="Q2770" s="16">
        <v>5399</v>
      </c>
      <c r="R2770" s="17">
        <v>40</v>
      </c>
      <c r="S2770" s="18">
        <v>3725.31</v>
      </c>
      <c r="T2770" s="19" t="s">
        <v>36</v>
      </c>
      <c r="U2770" s="20" t="s">
        <v>69</v>
      </c>
      <c r="V2770" s="21" t="s">
        <v>70</v>
      </c>
      <c r="W2770" s="22">
        <v>6</v>
      </c>
      <c r="X2770" s="23"/>
    </row>
    <row r="2771" spans="1:24" s="1" customFormat="1" ht="60.95" customHeight="1" x14ac:dyDescent="0.3">
      <c r="A2771" s="24" t="s">
        <v>23</v>
      </c>
      <c r="B2771" s="24" t="s">
        <v>3090</v>
      </c>
      <c r="C2771" s="12" t="s">
        <v>3096</v>
      </c>
      <c r="D2771" s="60"/>
      <c r="E2771" s="39" t="str">
        <f>HYPERLINK("https://www.google.ru/search?q=1384417-659&amp;newwindow=1&amp;tbm=isch","Еще фото")</f>
        <v>Еще фото</v>
      </c>
      <c r="F2771" s="13"/>
      <c r="G2771" s="24" t="s">
        <v>2809</v>
      </c>
      <c r="H2771" s="24" t="s">
        <v>27</v>
      </c>
      <c r="I2771" s="24" t="s">
        <v>2784</v>
      </c>
      <c r="J2771" s="14" t="s">
        <v>29</v>
      </c>
      <c r="K2771" s="15" t="s">
        <v>64</v>
      </c>
      <c r="L2771" s="58"/>
      <c r="M2771" s="14"/>
      <c r="N2771" s="14" t="s">
        <v>57</v>
      </c>
      <c r="O2771" s="14"/>
      <c r="P2771" s="15" t="s">
        <v>779</v>
      </c>
      <c r="Q2771" s="16">
        <v>5399</v>
      </c>
      <c r="R2771" s="17">
        <v>40</v>
      </c>
      <c r="S2771" s="18">
        <v>3725.31</v>
      </c>
      <c r="T2771" s="19" t="s">
        <v>36</v>
      </c>
      <c r="U2771" s="20" t="s">
        <v>39</v>
      </c>
      <c r="V2771" s="21" t="s">
        <v>38</v>
      </c>
      <c r="W2771" s="22">
        <v>1</v>
      </c>
      <c r="X2771" s="23"/>
    </row>
    <row r="2772" spans="1:24" s="1" customFormat="1" ht="108" customHeight="1" x14ac:dyDescent="0.3">
      <c r="A2772" s="11" t="s">
        <v>23</v>
      </c>
      <c r="B2772" s="11" t="s">
        <v>3097</v>
      </c>
      <c r="C2772" s="12" t="s">
        <v>3098</v>
      </c>
      <c r="D2772" s="25"/>
      <c r="E2772" s="39" t="str">
        <f>HYPERLINK("https://www.google.ru/search?q=1386424-008&amp;newwindow=1&amp;tbm=isch","Еще фото")</f>
        <v>Еще фото</v>
      </c>
      <c r="F2772" s="13" t="s">
        <v>98</v>
      </c>
      <c r="G2772" s="11" t="s">
        <v>2809</v>
      </c>
      <c r="H2772" s="11" t="s">
        <v>27</v>
      </c>
      <c r="I2772" s="14" t="s">
        <v>2784</v>
      </c>
      <c r="J2772" s="14" t="s">
        <v>29</v>
      </c>
      <c r="K2772" s="15" t="s">
        <v>64</v>
      </c>
      <c r="L2772" s="14" t="s">
        <v>3099</v>
      </c>
      <c r="M2772" s="14"/>
      <c r="N2772" s="14" t="s">
        <v>33</v>
      </c>
      <c r="O2772" s="14"/>
      <c r="P2772" s="15" t="s">
        <v>279</v>
      </c>
      <c r="Q2772" s="16">
        <v>4199</v>
      </c>
      <c r="R2772" s="17">
        <v>40</v>
      </c>
      <c r="S2772" s="18">
        <v>2897.31</v>
      </c>
      <c r="T2772" s="19" t="s">
        <v>36</v>
      </c>
      <c r="U2772" s="20" t="s">
        <v>69</v>
      </c>
      <c r="V2772" s="21" t="s">
        <v>70</v>
      </c>
      <c r="W2772" s="22">
        <v>1</v>
      </c>
      <c r="X2772" s="23"/>
    </row>
    <row r="2773" spans="1:24" s="1" customFormat="1" ht="51.95" customHeight="1" x14ac:dyDescent="0.3">
      <c r="A2773" s="11" t="s">
        <v>23</v>
      </c>
      <c r="B2773" s="11" t="s">
        <v>3097</v>
      </c>
      <c r="C2773" s="12" t="s">
        <v>3100</v>
      </c>
      <c r="D2773" s="59"/>
      <c r="E2773" s="39" t="str">
        <f>HYPERLINK("https://www.google.ru/search?q=1386424-520&amp;newwindow=1&amp;tbm=isch","Еще фото")</f>
        <v>Еще фото</v>
      </c>
      <c r="F2773" s="13"/>
      <c r="G2773" s="11" t="s">
        <v>2809</v>
      </c>
      <c r="H2773" s="11" t="s">
        <v>27</v>
      </c>
      <c r="I2773" s="14" t="s">
        <v>2784</v>
      </c>
      <c r="J2773" s="14" t="s">
        <v>29</v>
      </c>
      <c r="K2773" s="15" t="s">
        <v>64</v>
      </c>
      <c r="L2773" s="56" t="s">
        <v>3099</v>
      </c>
      <c r="M2773" s="14"/>
      <c r="N2773" s="14" t="s">
        <v>67</v>
      </c>
      <c r="O2773" s="14"/>
      <c r="P2773" s="15" t="s">
        <v>279</v>
      </c>
      <c r="Q2773" s="16">
        <v>4199</v>
      </c>
      <c r="R2773" s="17">
        <v>40</v>
      </c>
      <c r="S2773" s="18">
        <v>2897.31</v>
      </c>
      <c r="T2773" s="19" t="s">
        <v>36</v>
      </c>
      <c r="U2773" s="20" t="s">
        <v>69</v>
      </c>
      <c r="V2773" s="21" t="s">
        <v>70</v>
      </c>
      <c r="W2773" s="22">
        <v>5</v>
      </c>
      <c r="X2773" s="23"/>
    </row>
    <row r="2774" spans="1:24" s="1" customFormat="1" ht="60.95" customHeight="1" x14ac:dyDescent="0.3">
      <c r="A2774" s="24" t="s">
        <v>23</v>
      </c>
      <c r="B2774" s="24" t="s">
        <v>3097</v>
      </c>
      <c r="C2774" s="12" t="s">
        <v>3100</v>
      </c>
      <c r="D2774" s="60"/>
      <c r="E2774" s="39" t="str">
        <f>HYPERLINK("https://www.google.ru/search?q=1386424-520&amp;newwindow=1&amp;tbm=isch","Еще фото")</f>
        <v>Еще фото</v>
      </c>
      <c r="F2774" s="13"/>
      <c r="G2774" s="24" t="s">
        <v>2809</v>
      </c>
      <c r="H2774" s="24" t="s">
        <v>27</v>
      </c>
      <c r="I2774" s="24" t="s">
        <v>2784</v>
      </c>
      <c r="J2774" s="14" t="s">
        <v>29</v>
      </c>
      <c r="K2774" s="15" t="s">
        <v>64</v>
      </c>
      <c r="L2774" s="58"/>
      <c r="M2774" s="14"/>
      <c r="N2774" s="14" t="s">
        <v>67</v>
      </c>
      <c r="O2774" s="14"/>
      <c r="P2774" s="15" t="s">
        <v>279</v>
      </c>
      <c r="Q2774" s="16">
        <v>4199</v>
      </c>
      <c r="R2774" s="17">
        <v>40</v>
      </c>
      <c r="S2774" s="18">
        <v>2897.31</v>
      </c>
      <c r="T2774" s="19" t="s">
        <v>36</v>
      </c>
      <c r="U2774" s="20" t="s">
        <v>37</v>
      </c>
      <c r="V2774" s="21" t="s">
        <v>86</v>
      </c>
      <c r="W2774" s="22">
        <v>2</v>
      </c>
      <c r="X2774" s="23"/>
    </row>
    <row r="2775" spans="1:24" s="1" customFormat="1" ht="51.95" customHeight="1" x14ac:dyDescent="0.3">
      <c r="A2775" s="11" t="s">
        <v>23</v>
      </c>
      <c r="B2775" s="11" t="s">
        <v>3101</v>
      </c>
      <c r="C2775" s="12" t="s">
        <v>3102</v>
      </c>
      <c r="D2775" s="59"/>
      <c r="E2775" s="39" t="str">
        <f>HYPERLINK("https://www.google.ru/search?q=1386608-001&amp;newwindow=1&amp;tbm=isch","Еще фото")</f>
        <v>Еще фото</v>
      </c>
      <c r="F2775" s="13" t="s">
        <v>98</v>
      </c>
      <c r="G2775" s="11" t="s">
        <v>2804</v>
      </c>
      <c r="H2775" s="11" t="s">
        <v>27</v>
      </c>
      <c r="I2775" s="14" t="s">
        <v>2784</v>
      </c>
      <c r="J2775" s="14" t="s">
        <v>29</v>
      </c>
      <c r="K2775" s="15" t="s">
        <v>30</v>
      </c>
      <c r="L2775" s="56" t="s">
        <v>3103</v>
      </c>
      <c r="M2775" s="14"/>
      <c r="N2775" s="14" t="s">
        <v>33</v>
      </c>
      <c r="O2775" s="14"/>
      <c r="P2775" s="15" t="s">
        <v>2601</v>
      </c>
      <c r="Q2775" s="16">
        <v>5799</v>
      </c>
      <c r="R2775" s="17">
        <v>40</v>
      </c>
      <c r="S2775" s="18">
        <v>4001.31</v>
      </c>
      <c r="T2775" s="19" t="s">
        <v>36</v>
      </c>
      <c r="U2775" s="20" t="s">
        <v>43</v>
      </c>
      <c r="V2775" s="21" t="s">
        <v>44</v>
      </c>
      <c r="W2775" s="22">
        <v>8</v>
      </c>
      <c r="X2775" s="23"/>
    </row>
    <row r="2776" spans="1:24" s="1" customFormat="1" ht="60.95" customHeight="1" x14ac:dyDescent="0.3">
      <c r="A2776" s="24" t="s">
        <v>23</v>
      </c>
      <c r="B2776" s="24" t="s">
        <v>3101</v>
      </c>
      <c r="C2776" s="12" t="s">
        <v>3102</v>
      </c>
      <c r="D2776" s="60"/>
      <c r="E2776" s="39" t="str">
        <f>HYPERLINK("https://www.google.ru/search?q=1386608-001&amp;newwindow=1&amp;tbm=isch","Еще фото")</f>
        <v>Еще фото</v>
      </c>
      <c r="F2776" s="13" t="s">
        <v>98</v>
      </c>
      <c r="G2776" s="24" t="s">
        <v>2804</v>
      </c>
      <c r="H2776" s="24" t="s">
        <v>27</v>
      </c>
      <c r="I2776" s="24" t="s">
        <v>2784</v>
      </c>
      <c r="J2776" s="14" t="s">
        <v>29</v>
      </c>
      <c r="K2776" s="15" t="s">
        <v>30</v>
      </c>
      <c r="L2776" s="58"/>
      <c r="M2776" s="14"/>
      <c r="N2776" s="14" t="s">
        <v>33</v>
      </c>
      <c r="O2776" s="14"/>
      <c r="P2776" s="15" t="s">
        <v>2601</v>
      </c>
      <c r="Q2776" s="16">
        <v>5799</v>
      </c>
      <c r="R2776" s="17">
        <v>40</v>
      </c>
      <c r="S2776" s="18">
        <v>4001.31</v>
      </c>
      <c r="T2776" s="19" t="s">
        <v>36</v>
      </c>
      <c r="U2776" s="20" t="s">
        <v>104</v>
      </c>
      <c r="V2776" s="21" t="s">
        <v>105</v>
      </c>
      <c r="W2776" s="22">
        <v>1</v>
      </c>
      <c r="X2776" s="23"/>
    </row>
    <row r="2777" spans="1:24" s="1" customFormat="1" ht="51.95" customHeight="1" x14ac:dyDescent="0.3">
      <c r="A2777" s="11" t="s">
        <v>23</v>
      </c>
      <c r="B2777" s="11" t="s">
        <v>3101</v>
      </c>
      <c r="C2777" s="12" t="s">
        <v>3104</v>
      </c>
      <c r="D2777" s="59"/>
      <c r="E2777" s="39" t="str">
        <f>HYPERLINK("https://www.google.ru/search?q=1386608-025&amp;newwindow=1&amp;tbm=isch","Еще фото")</f>
        <v>Еще фото</v>
      </c>
      <c r="F2777" s="13" t="s">
        <v>98</v>
      </c>
      <c r="G2777" s="11" t="s">
        <v>2804</v>
      </c>
      <c r="H2777" s="11" t="s">
        <v>27</v>
      </c>
      <c r="I2777" s="14" t="s">
        <v>2784</v>
      </c>
      <c r="J2777" s="14" t="s">
        <v>29</v>
      </c>
      <c r="K2777" s="15" t="s">
        <v>30</v>
      </c>
      <c r="L2777" s="56" t="s">
        <v>3103</v>
      </c>
      <c r="M2777" s="14"/>
      <c r="N2777" s="14" t="s">
        <v>84</v>
      </c>
      <c r="O2777" s="14"/>
      <c r="P2777" s="15" t="s">
        <v>2601</v>
      </c>
      <c r="Q2777" s="16">
        <v>5699</v>
      </c>
      <c r="R2777" s="17">
        <v>40</v>
      </c>
      <c r="S2777" s="18">
        <v>3932.31</v>
      </c>
      <c r="T2777" s="19" t="s">
        <v>36</v>
      </c>
      <c r="U2777" s="20" t="s">
        <v>37</v>
      </c>
      <c r="V2777" s="21" t="s">
        <v>38</v>
      </c>
      <c r="W2777" s="22">
        <v>6</v>
      </c>
      <c r="X2777" s="23"/>
    </row>
    <row r="2778" spans="1:24" s="1" customFormat="1" ht="60.95" customHeight="1" x14ac:dyDescent="0.3">
      <c r="A2778" s="24" t="s">
        <v>23</v>
      </c>
      <c r="B2778" s="24" t="s">
        <v>3101</v>
      </c>
      <c r="C2778" s="12" t="s">
        <v>3104</v>
      </c>
      <c r="D2778" s="60"/>
      <c r="E2778" s="39" t="str">
        <f>HYPERLINK("https://www.google.ru/search?q=1386608-025&amp;newwindow=1&amp;tbm=isch","Еще фото")</f>
        <v>Еще фото</v>
      </c>
      <c r="F2778" s="13" t="s">
        <v>98</v>
      </c>
      <c r="G2778" s="24" t="s">
        <v>2804</v>
      </c>
      <c r="H2778" s="24" t="s">
        <v>27</v>
      </c>
      <c r="I2778" s="24" t="s">
        <v>2784</v>
      </c>
      <c r="J2778" s="14" t="s">
        <v>29</v>
      </c>
      <c r="K2778" s="15" t="s">
        <v>30</v>
      </c>
      <c r="L2778" s="58"/>
      <c r="M2778" s="14"/>
      <c r="N2778" s="14" t="s">
        <v>84</v>
      </c>
      <c r="O2778" s="14"/>
      <c r="P2778" s="15" t="s">
        <v>2601</v>
      </c>
      <c r="Q2778" s="16">
        <v>5699</v>
      </c>
      <c r="R2778" s="17">
        <v>40</v>
      </c>
      <c r="S2778" s="18">
        <v>3932.31</v>
      </c>
      <c r="T2778" s="19" t="s">
        <v>36</v>
      </c>
      <c r="U2778" s="20" t="s">
        <v>39</v>
      </c>
      <c r="V2778" s="21" t="s">
        <v>40</v>
      </c>
      <c r="W2778" s="22">
        <v>1</v>
      </c>
      <c r="X2778" s="23"/>
    </row>
    <row r="2779" spans="1:24" s="1" customFormat="1" ht="108" customHeight="1" x14ac:dyDescent="0.3">
      <c r="A2779" s="11" t="s">
        <v>23</v>
      </c>
      <c r="B2779" s="11" t="s">
        <v>3101</v>
      </c>
      <c r="C2779" s="12" t="s">
        <v>3105</v>
      </c>
      <c r="D2779" s="25"/>
      <c r="E2779" s="39" t="str">
        <f>HYPERLINK("https://www.google.ru/search?q=1386608-100&amp;newwindow=1&amp;tbm=isch","Еще фото")</f>
        <v>Еще фото</v>
      </c>
      <c r="F2779" s="13"/>
      <c r="G2779" s="11" t="s">
        <v>2804</v>
      </c>
      <c r="H2779" s="11" t="s">
        <v>27</v>
      </c>
      <c r="I2779" s="14" t="s">
        <v>2784</v>
      </c>
      <c r="J2779" s="14" t="s">
        <v>29</v>
      </c>
      <c r="K2779" s="15" t="s">
        <v>30</v>
      </c>
      <c r="L2779" s="14" t="s">
        <v>3103</v>
      </c>
      <c r="M2779" s="14"/>
      <c r="N2779" s="14" t="s">
        <v>74</v>
      </c>
      <c r="O2779" s="14"/>
      <c r="P2779" s="15" t="s">
        <v>2601</v>
      </c>
      <c r="Q2779" s="16">
        <v>5299</v>
      </c>
      <c r="R2779" s="17">
        <v>40</v>
      </c>
      <c r="S2779" s="18">
        <v>3656.31</v>
      </c>
      <c r="T2779" s="19" t="s">
        <v>36</v>
      </c>
      <c r="U2779" s="20" t="s">
        <v>39</v>
      </c>
      <c r="V2779" s="21" t="s">
        <v>40</v>
      </c>
      <c r="W2779" s="22">
        <v>1</v>
      </c>
      <c r="X2779" s="23"/>
    </row>
    <row r="2780" spans="1:24" s="1" customFormat="1" ht="108" customHeight="1" x14ac:dyDescent="0.3">
      <c r="A2780" s="11" t="s">
        <v>23</v>
      </c>
      <c r="B2780" s="11" t="s">
        <v>3101</v>
      </c>
      <c r="C2780" s="12" t="s">
        <v>3106</v>
      </c>
      <c r="D2780" s="25"/>
      <c r="E2780" s="39" t="str">
        <f>HYPERLINK("https://www.google.ru/search?q=1386608-465&amp;newwindow=1&amp;tbm=isch","Еще фото")</f>
        <v>Еще фото</v>
      </c>
      <c r="F2780" s="13"/>
      <c r="G2780" s="11" t="s">
        <v>2804</v>
      </c>
      <c r="H2780" s="11" t="s">
        <v>27</v>
      </c>
      <c r="I2780" s="14" t="s">
        <v>2784</v>
      </c>
      <c r="J2780" s="14" t="s">
        <v>29</v>
      </c>
      <c r="K2780" s="15" t="s">
        <v>30</v>
      </c>
      <c r="L2780" s="14" t="s">
        <v>3103</v>
      </c>
      <c r="M2780" s="14"/>
      <c r="N2780" s="14" t="s">
        <v>50</v>
      </c>
      <c r="O2780" s="14"/>
      <c r="P2780" s="15" t="s">
        <v>2601</v>
      </c>
      <c r="Q2780" s="16">
        <v>7199</v>
      </c>
      <c r="R2780" s="17">
        <v>40</v>
      </c>
      <c r="S2780" s="18">
        <v>4967.3099999999995</v>
      </c>
      <c r="T2780" s="19" t="s">
        <v>36</v>
      </c>
      <c r="U2780" s="20" t="s">
        <v>37</v>
      </c>
      <c r="V2780" s="21" t="s">
        <v>38</v>
      </c>
      <c r="W2780" s="22">
        <v>1</v>
      </c>
      <c r="X2780" s="23"/>
    </row>
    <row r="2781" spans="1:24" s="1" customFormat="1" ht="35.1" customHeight="1" x14ac:dyDescent="0.3">
      <c r="A2781" s="11" t="s">
        <v>23</v>
      </c>
      <c r="B2781" s="11" t="s">
        <v>3107</v>
      </c>
      <c r="C2781" s="12" t="s">
        <v>3108</v>
      </c>
      <c r="D2781" s="53"/>
      <c r="E2781" s="39" t="str">
        <f>HYPERLINK("https://www.google.ru/search?q=1386888-505&amp;newwindow=1&amp;tbm=isch","Еще фото")</f>
        <v>Еще фото</v>
      </c>
      <c r="F2781" s="13"/>
      <c r="G2781" s="11" t="s">
        <v>2862</v>
      </c>
      <c r="H2781" s="11" t="s">
        <v>27</v>
      </c>
      <c r="I2781" s="14" t="s">
        <v>2784</v>
      </c>
      <c r="J2781" s="14" t="s">
        <v>29</v>
      </c>
      <c r="K2781" s="15" t="s">
        <v>30</v>
      </c>
      <c r="L2781" s="56" t="s">
        <v>3109</v>
      </c>
      <c r="M2781" s="14"/>
      <c r="N2781" s="14" t="s">
        <v>67</v>
      </c>
      <c r="O2781" s="14"/>
      <c r="P2781" s="15" t="s">
        <v>2913</v>
      </c>
      <c r="Q2781" s="16">
        <v>8999</v>
      </c>
      <c r="R2781" s="17">
        <v>40</v>
      </c>
      <c r="S2781" s="18">
        <v>6209.3099999999995</v>
      </c>
      <c r="T2781" s="19" t="s">
        <v>36</v>
      </c>
      <c r="U2781" s="20" t="s">
        <v>69</v>
      </c>
      <c r="V2781" s="21" t="s">
        <v>75</v>
      </c>
      <c r="W2781" s="22">
        <v>3</v>
      </c>
      <c r="X2781" s="23"/>
    </row>
    <row r="2782" spans="1:24" s="1" customFormat="1" ht="35.1" customHeight="1" x14ac:dyDescent="0.3">
      <c r="A2782" s="24" t="s">
        <v>23</v>
      </c>
      <c r="B2782" s="24" t="s">
        <v>3107</v>
      </c>
      <c r="C2782" s="12" t="s">
        <v>3108</v>
      </c>
      <c r="D2782" s="54"/>
      <c r="E2782" s="39" t="str">
        <f>HYPERLINK("https://www.google.ru/search?q=1386888-505&amp;newwindow=1&amp;tbm=isch","Еще фото")</f>
        <v>Еще фото</v>
      </c>
      <c r="F2782" s="13"/>
      <c r="G2782" s="24" t="s">
        <v>2862</v>
      </c>
      <c r="H2782" s="24" t="s">
        <v>27</v>
      </c>
      <c r="I2782" s="24" t="s">
        <v>2784</v>
      </c>
      <c r="J2782" s="14" t="s">
        <v>29</v>
      </c>
      <c r="K2782" s="15" t="s">
        <v>30</v>
      </c>
      <c r="L2782" s="57"/>
      <c r="M2782" s="14"/>
      <c r="N2782" s="14" t="s">
        <v>67</v>
      </c>
      <c r="O2782" s="14"/>
      <c r="P2782" s="15" t="s">
        <v>2913</v>
      </c>
      <c r="Q2782" s="16">
        <v>8999</v>
      </c>
      <c r="R2782" s="17">
        <v>40</v>
      </c>
      <c r="S2782" s="18">
        <v>6209.3099999999995</v>
      </c>
      <c r="T2782" s="19" t="s">
        <v>36</v>
      </c>
      <c r="U2782" s="20" t="s">
        <v>37</v>
      </c>
      <c r="V2782" s="21" t="s">
        <v>38</v>
      </c>
      <c r="W2782" s="22">
        <v>1</v>
      </c>
      <c r="X2782" s="23"/>
    </row>
    <row r="2783" spans="1:24" s="1" customFormat="1" ht="36.950000000000003" customHeight="1" x14ac:dyDescent="0.3">
      <c r="A2783" s="24" t="s">
        <v>23</v>
      </c>
      <c r="B2783" s="24" t="s">
        <v>3107</v>
      </c>
      <c r="C2783" s="12" t="s">
        <v>3108</v>
      </c>
      <c r="D2783" s="55"/>
      <c r="E2783" s="39" t="str">
        <f>HYPERLINK("https://www.google.ru/search?q=1386888-505&amp;newwindow=1&amp;tbm=isch","Еще фото")</f>
        <v>Еще фото</v>
      </c>
      <c r="F2783" s="13"/>
      <c r="G2783" s="24" t="s">
        <v>2862</v>
      </c>
      <c r="H2783" s="24" t="s">
        <v>27</v>
      </c>
      <c r="I2783" s="24" t="s">
        <v>2784</v>
      </c>
      <c r="J2783" s="14" t="s">
        <v>29</v>
      </c>
      <c r="K2783" s="15" t="s">
        <v>30</v>
      </c>
      <c r="L2783" s="58"/>
      <c r="M2783" s="14"/>
      <c r="N2783" s="14" t="s">
        <v>67</v>
      </c>
      <c r="O2783" s="14"/>
      <c r="P2783" s="15" t="s">
        <v>2913</v>
      </c>
      <c r="Q2783" s="16">
        <v>8999</v>
      </c>
      <c r="R2783" s="17">
        <v>40</v>
      </c>
      <c r="S2783" s="18">
        <v>6209.3099999999995</v>
      </c>
      <c r="T2783" s="19" t="s">
        <v>36</v>
      </c>
      <c r="U2783" s="20" t="s">
        <v>39</v>
      </c>
      <c r="V2783" s="21" t="s">
        <v>40</v>
      </c>
      <c r="W2783" s="22">
        <v>2</v>
      </c>
      <c r="X2783" s="23"/>
    </row>
    <row r="2784" spans="1:24" s="1" customFormat="1" ht="35.1" customHeight="1" x14ac:dyDescent="0.3">
      <c r="A2784" s="11" t="s">
        <v>23</v>
      </c>
      <c r="B2784" s="11" t="s">
        <v>3110</v>
      </c>
      <c r="C2784" s="12" t="s">
        <v>3111</v>
      </c>
      <c r="D2784" s="53"/>
      <c r="E2784" s="39" t="str">
        <f>HYPERLINK("https://www.google.ru/search?q=1386897-505&amp;newwindow=1&amp;tbm=isch","Еще фото")</f>
        <v>Еще фото</v>
      </c>
      <c r="F2784" s="13"/>
      <c r="G2784" s="11" t="s">
        <v>2862</v>
      </c>
      <c r="H2784" s="11" t="s">
        <v>27</v>
      </c>
      <c r="I2784" s="14" t="s">
        <v>2784</v>
      </c>
      <c r="J2784" s="14" t="s">
        <v>29</v>
      </c>
      <c r="K2784" s="15" t="s">
        <v>30</v>
      </c>
      <c r="L2784" s="56" t="s">
        <v>3112</v>
      </c>
      <c r="M2784" s="14"/>
      <c r="N2784" s="14" t="s">
        <v>67</v>
      </c>
      <c r="O2784" s="14"/>
      <c r="P2784" s="15" t="s">
        <v>2801</v>
      </c>
      <c r="Q2784" s="16">
        <v>8399</v>
      </c>
      <c r="R2784" s="17">
        <v>40</v>
      </c>
      <c r="S2784" s="18">
        <v>5795.3099999999995</v>
      </c>
      <c r="T2784" s="19" t="s">
        <v>36</v>
      </c>
      <c r="U2784" s="20" t="s">
        <v>69</v>
      </c>
      <c r="V2784" s="21" t="s">
        <v>75</v>
      </c>
      <c r="W2784" s="22">
        <v>1</v>
      </c>
      <c r="X2784" s="23"/>
    </row>
    <row r="2785" spans="1:24" s="1" customFormat="1" ht="35.1" customHeight="1" x14ac:dyDescent="0.3">
      <c r="A2785" s="24" t="s">
        <v>23</v>
      </c>
      <c r="B2785" s="24" t="s">
        <v>3110</v>
      </c>
      <c r="C2785" s="12" t="s">
        <v>3111</v>
      </c>
      <c r="D2785" s="54"/>
      <c r="E2785" s="39" t="str">
        <f>HYPERLINK("https://www.google.ru/search?q=1386897-505&amp;newwindow=1&amp;tbm=isch","Еще фото")</f>
        <v>Еще фото</v>
      </c>
      <c r="F2785" s="13"/>
      <c r="G2785" s="24" t="s">
        <v>2862</v>
      </c>
      <c r="H2785" s="24" t="s">
        <v>27</v>
      </c>
      <c r="I2785" s="24" t="s">
        <v>2784</v>
      </c>
      <c r="J2785" s="14" t="s">
        <v>29</v>
      </c>
      <c r="K2785" s="15" t="s">
        <v>30</v>
      </c>
      <c r="L2785" s="57"/>
      <c r="M2785" s="14"/>
      <c r="N2785" s="14" t="s">
        <v>67</v>
      </c>
      <c r="O2785" s="14"/>
      <c r="P2785" s="15" t="s">
        <v>2801</v>
      </c>
      <c r="Q2785" s="16">
        <v>8399</v>
      </c>
      <c r="R2785" s="17">
        <v>40</v>
      </c>
      <c r="S2785" s="18">
        <v>5795.3099999999995</v>
      </c>
      <c r="T2785" s="19" t="s">
        <v>36</v>
      </c>
      <c r="U2785" s="20" t="s">
        <v>37</v>
      </c>
      <c r="V2785" s="21" t="s">
        <v>38</v>
      </c>
      <c r="W2785" s="22">
        <v>2</v>
      </c>
      <c r="X2785" s="23"/>
    </row>
    <row r="2786" spans="1:24" s="1" customFormat="1" ht="36.950000000000003" customHeight="1" x14ac:dyDescent="0.3">
      <c r="A2786" s="24" t="s">
        <v>23</v>
      </c>
      <c r="B2786" s="24" t="s">
        <v>3110</v>
      </c>
      <c r="C2786" s="12" t="s">
        <v>3111</v>
      </c>
      <c r="D2786" s="55"/>
      <c r="E2786" s="39" t="str">
        <f>HYPERLINK("https://www.google.ru/search?q=1386897-505&amp;newwindow=1&amp;tbm=isch","Еще фото")</f>
        <v>Еще фото</v>
      </c>
      <c r="F2786" s="13"/>
      <c r="G2786" s="24" t="s">
        <v>2862</v>
      </c>
      <c r="H2786" s="24" t="s">
        <v>27</v>
      </c>
      <c r="I2786" s="24" t="s">
        <v>2784</v>
      </c>
      <c r="J2786" s="14" t="s">
        <v>29</v>
      </c>
      <c r="K2786" s="15" t="s">
        <v>30</v>
      </c>
      <c r="L2786" s="58"/>
      <c r="M2786" s="14"/>
      <c r="N2786" s="14" t="s">
        <v>67</v>
      </c>
      <c r="O2786" s="14"/>
      <c r="P2786" s="15" t="s">
        <v>2801</v>
      </c>
      <c r="Q2786" s="16">
        <v>8399</v>
      </c>
      <c r="R2786" s="17">
        <v>40</v>
      </c>
      <c r="S2786" s="18">
        <v>5795.3099999999995</v>
      </c>
      <c r="T2786" s="19" t="s">
        <v>36</v>
      </c>
      <c r="U2786" s="20" t="s">
        <v>41</v>
      </c>
      <c r="V2786" s="21" t="s">
        <v>42</v>
      </c>
      <c r="W2786" s="22">
        <v>3</v>
      </c>
      <c r="X2786" s="23"/>
    </row>
    <row r="2787" spans="1:24" s="1" customFormat="1" ht="108" customHeight="1" x14ac:dyDescent="0.3">
      <c r="A2787" s="11" t="s">
        <v>23</v>
      </c>
      <c r="B2787" s="11" t="s">
        <v>2926</v>
      </c>
      <c r="C2787" s="12" t="s">
        <v>3113</v>
      </c>
      <c r="D2787" s="25"/>
      <c r="E2787" s="39" t="str">
        <f>HYPERLINK("https://www.google.ru/search?q=1386915-711&amp;newwindow=1&amp;tbm=isch","Еще фото")</f>
        <v>Еще фото</v>
      </c>
      <c r="F2787" s="13"/>
      <c r="G2787" s="11" t="s">
        <v>2862</v>
      </c>
      <c r="H2787" s="11" t="s">
        <v>27</v>
      </c>
      <c r="I2787" s="14" t="s">
        <v>2784</v>
      </c>
      <c r="J2787" s="14" t="s">
        <v>29</v>
      </c>
      <c r="K2787" s="15" t="s">
        <v>30</v>
      </c>
      <c r="L2787" s="14" t="s">
        <v>2928</v>
      </c>
      <c r="M2787" s="14"/>
      <c r="N2787" s="14" t="s">
        <v>434</v>
      </c>
      <c r="O2787" s="14"/>
      <c r="P2787" s="15" t="s">
        <v>2801</v>
      </c>
      <c r="Q2787" s="16">
        <v>8399</v>
      </c>
      <c r="R2787" s="17">
        <v>40</v>
      </c>
      <c r="S2787" s="18">
        <v>5795.3099999999995</v>
      </c>
      <c r="T2787" s="19" t="s">
        <v>36</v>
      </c>
      <c r="U2787" s="20" t="s">
        <v>37</v>
      </c>
      <c r="V2787" s="21" t="s">
        <v>38</v>
      </c>
      <c r="W2787" s="22">
        <v>1</v>
      </c>
      <c r="X2787" s="23"/>
    </row>
    <row r="2788" spans="1:24" s="1" customFormat="1" ht="108" customHeight="1" x14ac:dyDescent="0.3">
      <c r="A2788" s="11" t="s">
        <v>23</v>
      </c>
      <c r="B2788" s="11" t="s">
        <v>3114</v>
      </c>
      <c r="C2788" s="12" t="s">
        <v>3115</v>
      </c>
      <c r="D2788" s="25"/>
      <c r="E2788" s="39" t="str">
        <f>HYPERLINK("https://www.google.ru/search?q=1387193-100&amp;newwindow=1&amp;tbm=isch","Еще фото")</f>
        <v>Еще фото</v>
      </c>
      <c r="F2788" s="13"/>
      <c r="G2788" s="11" t="s">
        <v>2788</v>
      </c>
      <c r="H2788" s="11" t="s">
        <v>27</v>
      </c>
      <c r="I2788" s="14" t="s">
        <v>2784</v>
      </c>
      <c r="J2788" s="14" t="s">
        <v>29</v>
      </c>
      <c r="K2788" s="15" t="s">
        <v>64</v>
      </c>
      <c r="L2788" s="14" t="s">
        <v>3116</v>
      </c>
      <c r="M2788" s="14"/>
      <c r="N2788" s="14" t="s">
        <v>74</v>
      </c>
      <c r="O2788" s="14"/>
      <c r="P2788" s="15" t="s">
        <v>2601</v>
      </c>
      <c r="Q2788" s="16">
        <v>2799</v>
      </c>
      <c r="R2788" s="17">
        <v>40</v>
      </c>
      <c r="S2788" s="18">
        <v>1931.31</v>
      </c>
      <c r="T2788" s="19" t="s">
        <v>36</v>
      </c>
      <c r="U2788" s="20" t="s">
        <v>39</v>
      </c>
      <c r="V2788" s="21" t="s">
        <v>38</v>
      </c>
      <c r="W2788" s="22">
        <v>1</v>
      </c>
      <c r="X2788" s="23"/>
    </row>
    <row r="2789" spans="1:24" s="1" customFormat="1" ht="51.95" customHeight="1" x14ac:dyDescent="0.3">
      <c r="A2789" s="11" t="s">
        <v>23</v>
      </c>
      <c r="B2789" s="11" t="s">
        <v>3117</v>
      </c>
      <c r="C2789" s="12" t="s">
        <v>3118</v>
      </c>
      <c r="D2789" s="59"/>
      <c r="E2789" s="39" t="str">
        <f>HYPERLINK("https://www.google.ru/search?q=1388129-001&amp;newwindow=1&amp;tbm=isch","Еще фото")</f>
        <v>Еще фото</v>
      </c>
      <c r="F2789" s="13" t="s">
        <v>98</v>
      </c>
      <c r="G2789" s="11" t="s">
        <v>2788</v>
      </c>
      <c r="H2789" s="11" t="s">
        <v>27</v>
      </c>
      <c r="I2789" s="14" t="s">
        <v>2784</v>
      </c>
      <c r="J2789" s="14" t="s">
        <v>29</v>
      </c>
      <c r="K2789" s="15" t="s">
        <v>30</v>
      </c>
      <c r="L2789" s="56" t="s">
        <v>3119</v>
      </c>
      <c r="M2789" s="14"/>
      <c r="N2789" s="14" t="s">
        <v>33</v>
      </c>
      <c r="O2789" s="14"/>
      <c r="P2789" s="15" t="s">
        <v>3120</v>
      </c>
      <c r="Q2789" s="16">
        <v>5499</v>
      </c>
      <c r="R2789" s="17">
        <v>40</v>
      </c>
      <c r="S2789" s="18">
        <v>3794.31</v>
      </c>
      <c r="T2789" s="19" t="s">
        <v>36</v>
      </c>
      <c r="U2789" s="20" t="s">
        <v>37</v>
      </c>
      <c r="V2789" s="21" t="s">
        <v>38</v>
      </c>
      <c r="W2789" s="22">
        <v>11</v>
      </c>
      <c r="X2789" s="23"/>
    </row>
    <row r="2790" spans="1:24" s="1" customFormat="1" ht="60.95" customHeight="1" x14ac:dyDescent="0.3">
      <c r="A2790" s="24" t="s">
        <v>23</v>
      </c>
      <c r="B2790" s="24" t="s">
        <v>3117</v>
      </c>
      <c r="C2790" s="12" t="s">
        <v>3118</v>
      </c>
      <c r="D2790" s="60"/>
      <c r="E2790" s="39" t="str">
        <f>HYPERLINK("https://www.google.ru/search?q=1388129-001&amp;newwindow=1&amp;tbm=isch","Еще фото")</f>
        <v>Еще фото</v>
      </c>
      <c r="F2790" s="13" t="s">
        <v>98</v>
      </c>
      <c r="G2790" s="24" t="s">
        <v>2788</v>
      </c>
      <c r="H2790" s="24" t="s">
        <v>27</v>
      </c>
      <c r="I2790" s="24" t="s">
        <v>2784</v>
      </c>
      <c r="J2790" s="14" t="s">
        <v>29</v>
      </c>
      <c r="K2790" s="15" t="s">
        <v>30</v>
      </c>
      <c r="L2790" s="58"/>
      <c r="M2790" s="14"/>
      <c r="N2790" s="14" t="s">
        <v>33</v>
      </c>
      <c r="O2790" s="14"/>
      <c r="P2790" s="15" t="s">
        <v>3120</v>
      </c>
      <c r="Q2790" s="16">
        <v>5499</v>
      </c>
      <c r="R2790" s="17">
        <v>40</v>
      </c>
      <c r="S2790" s="18">
        <v>3794.31</v>
      </c>
      <c r="T2790" s="19" t="s">
        <v>36</v>
      </c>
      <c r="U2790" s="20" t="s">
        <v>39</v>
      </c>
      <c r="V2790" s="21" t="s">
        <v>40</v>
      </c>
      <c r="W2790" s="22">
        <v>2</v>
      </c>
      <c r="X2790" s="23"/>
    </row>
    <row r="2791" spans="1:24" s="1" customFormat="1" ht="51.95" customHeight="1" x14ac:dyDescent="0.3">
      <c r="A2791" s="11" t="s">
        <v>23</v>
      </c>
      <c r="B2791" s="11" t="s">
        <v>3121</v>
      </c>
      <c r="C2791" s="12" t="s">
        <v>3122</v>
      </c>
      <c r="D2791" s="59"/>
      <c r="E2791" s="39" t="str">
        <f>HYPERLINK("https://www.google.ru/search?q=1388672-338&amp;newwindow=1&amp;tbm=isch","Еще фото")</f>
        <v>Еще фото</v>
      </c>
      <c r="F2791" s="13"/>
      <c r="G2791" s="11" t="s">
        <v>2788</v>
      </c>
      <c r="H2791" s="11" t="s">
        <v>27</v>
      </c>
      <c r="I2791" s="14" t="s">
        <v>2784</v>
      </c>
      <c r="J2791" s="14" t="s">
        <v>47</v>
      </c>
      <c r="K2791" s="15" t="s">
        <v>54</v>
      </c>
      <c r="L2791" s="56" t="s">
        <v>3123</v>
      </c>
      <c r="M2791" s="14"/>
      <c r="N2791" s="14" t="s">
        <v>125</v>
      </c>
      <c r="O2791" s="14"/>
      <c r="P2791" s="15" t="s">
        <v>2601</v>
      </c>
      <c r="Q2791" s="16">
        <v>1999</v>
      </c>
      <c r="R2791" s="17">
        <v>40</v>
      </c>
      <c r="S2791" s="18">
        <v>1379.31</v>
      </c>
      <c r="T2791" s="19" t="s">
        <v>36</v>
      </c>
      <c r="U2791" s="20" t="s">
        <v>114</v>
      </c>
      <c r="V2791" s="21" t="s">
        <v>115</v>
      </c>
      <c r="W2791" s="22">
        <v>5</v>
      </c>
      <c r="X2791" s="23"/>
    </row>
    <row r="2792" spans="1:24" s="1" customFormat="1" ht="60.95" customHeight="1" x14ac:dyDescent="0.3">
      <c r="A2792" s="24" t="s">
        <v>23</v>
      </c>
      <c r="B2792" s="24" t="s">
        <v>3121</v>
      </c>
      <c r="C2792" s="12" t="s">
        <v>3122</v>
      </c>
      <c r="D2792" s="60"/>
      <c r="E2792" s="39" t="str">
        <f>HYPERLINK("https://www.google.ru/search?q=1388672-338&amp;newwindow=1&amp;tbm=isch","Еще фото")</f>
        <v>Еще фото</v>
      </c>
      <c r="F2792" s="13"/>
      <c r="G2792" s="24" t="s">
        <v>2788</v>
      </c>
      <c r="H2792" s="24" t="s">
        <v>27</v>
      </c>
      <c r="I2792" s="24" t="s">
        <v>2784</v>
      </c>
      <c r="J2792" s="14" t="s">
        <v>47</v>
      </c>
      <c r="K2792" s="15" t="s">
        <v>54</v>
      </c>
      <c r="L2792" s="58"/>
      <c r="M2792" s="14"/>
      <c r="N2792" s="14" t="s">
        <v>125</v>
      </c>
      <c r="O2792" s="14"/>
      <c r="P2792" s="15" t="s">
        <v>2601</v>
      </c>
      <c r="Q2792" s="16">
        <v>1999</v>
      </c>
      <c r="R2792" s="17">
        <v>40</v>
      </c>
      <c r="S2792" s="18">
        <v>1379.31</v>
      </c>
      <c r="T2792" s="19" t="s">
        <v>36</v>
      </c>
      <c r="U2792" s="20" t="s">
        <v>126</v>
      </c>
      <c r="V2792" s="21" t="s">
        <v>127</v>
      </c>
      <c r="W2792" s="22">
        <v>8</v>
      </c>
      <c r="X2792" s="23"/>
    </row>
    <row r="2793" spans="1:24" s="1" customFormat="1" ht="26.1" customHeight="1" x14ac:dyDescent="0.3">
      <c r="A2793" s="11" t="s">
        <v>23</v>
      </c>
      <c r="B2793" s="11" t="s">
        <v>3121</v>
      </c>
      <c r="C2793" s="12" t="s">
        <v>3124</v>
      </c>
      <c r="D2793" s="53"/>
      <c r="E2793" s="39" t="str">
        <f>HYPERLINK("https://www.google.ru/search?q=1388672-466&amp;newwindow=1&amp;tbm=isch","Еще фото")</f>
        <v>Еще фото</v>
      </c>
      <c r="F2793" s="13"/>
      <c r="G2793" s="11" t="s">
        <v>2788</v>
      </c>
      <c r="H2793" s="11" t="s">
        <v>27</v>
      </c>
      <c r="I2793" s="14" t="s">
        <v>2784</v>
      </c>
      <c r="J2793" s="14" t="s">
        <v>47</v>
      </c>
      <c r="K2793" s="15" t="s">
        <v>54</v>
      </c>
      <c r="L2793" s="56"/>
      <c r="M2793" s="14"/>
      <c r="N2793" s="14" t="s">
        <v>91</v>
      </c>
      <c r="O2793" s="14"/>
      <c r="P2793" s="15" t="s">
        <v>2601</v>
      </c>
      <c r="Q2793" s="16">
        <v>1999</v>
      </c>
      <c r="R2793" s="17">
        <v>40</v>
      </c>
      <c r="S2793" s="18">
        <v>1379.31</v>
      </c>
      <c r="T2793" s="19" t="s">
        <v>36</v>
      </c>
      <c r="U2793" s="20" t="s">
        <v>114</v>
      </c>
      <c r="V2793" s="21" t="s">
        <v>115</v>
      </c>
      <c r="W2793" s="22">
        <v>4</v>
      </c>
      <c r="X2793" s="23"/>
    </row>
    <row r="2794" spans="1:24" s="1" customFormat="1" ht="26.1" customHeight="1" x14ac:dyDescent="0.3">
      <c r="A2794" s="24" t="s">
        <v>23</v>
      </c>
      <c r="B2794" s="24" t="s">
        <v>3121</v>
      </c>
      <c r="C2794" s="12" t="s">
        <v>3124</v>
      </c>
      <c r="D2794" s="54"/>
      <c r="E2794" s="39" t="str">
        <f>HYPERLINK("https://www.google.ru/search?q=1388672-466&amp;newwindow=1&amp;tbm=isch","Еще фото")</f>
        <v>Еще фото</v>
      </c>
      <c r="F2794" s="13"/>
      <c r="G2794" s="24" t="s">
        <v>2788</v>
      </c>
      <c r="H2794" s="24" t="s">
        <v>27</v>
      </c>
      <c r="I2794" s="24" t="s">
        <v>2784</v>
      </c>
      <c r="J2794" s="14" t="s">
        <v>47</v>
      </c>
      <c r="K2794" s="15" t="s">
        <v>54</v>
      </c>
      <c r="L2794" s="57"/>
      <c r="M2794" s="14"/>
      <c r="N2794" s="14" t="s">
        <v>91</v>
      </c>
      <c r="O2794" s="14"/>
      <c r="P2794" s="15" t="s">
        <v>2601</v>
      </c>
      <c r="Q2794" s="16">
        <v>1999</v>
      </c>
      <c r="R2794" s="17">
        <v>40</v>
      </c>
      <c r="S2794" s="18">
        <v>1379.31</v>
      </c>
      <c r="T2794" s="19" t="s">
        <v>36</v>
      </c>
      <c r="U2794" s="20" t="s">
        <v>126</v>
      </c>
      <c r="V2794" s="21" t="s">
        <v>127</v>
      </c>
      <c r="W2794" s="22">
        <v>11</v>
      </c>
      <c r="X2794" s="23"/>
    </row>
    <row r="2795" spans="1:24" s="1" customFormat="1" ht="26.1" customHeight="1" x14ac:dyDescent="0.3">
      <c r="A2795" s="24" t="s">
        <v>23</v>
      </c>
      <c r="B2795" s="24" t="s">
        <v>3121</v>
      </c>
      <c r="C2795" s="12" t="s">
        <v>3124</v>
      </c>
      <c r="D2795" s="54"/>
      <c r="E2795" s="39" t="str">
        <f>HYPERLINK("https://www.google.ru/search?q=1388672-466&amp;newwindow=1&amp;tbm=isch","Еще фото")</f>
        <v>Еще фото</v>
      </c>
      <c r="F2795" s="13"/>
      <c r="G2795" s="24" t="s">
        <v>2788</v>
      </c>
      <c r="H2795" s="24" t="s">
        <v>27</v>
      </c>
      <c r="I2795" s="24" t="s">
        <v>2784</v>
      </c>
      <c r="J2795" s="14" t="s">
        <v>47</v>
      </c>
      <c r="K2795" s="15" t="s">
        <v>54</v>
      </c>
      <c r="L2795" s="57"/>
      <c r="M2795" s="14"/>
      <c r="N2795" s="14" t="s">
        <v>91</v>
      </c>
      <c r="O2795" s="14"/>
      <c r="P2795" s="15" t="s">
        <v>2601</v>
      </c>
      <c r="Q2795" s="16">
        <v>1999</v>
      </c>
      <c r="R2795" s="17">
        <v>40</v>
      </c>
      <c r="S2795" s="18">
        <v>1379.31</v>
      </c>
      <c r="T2795" s="19" t="s">
        <v>36</v>
      </c>
      <c r="U2795" s="20" t="s">
        <v>128</v>
      </c>
      <c r="V2795" s="21" t="s">
        <v>129</v>
      </c>
      <c r="W2795" s="22">
        <v>3</v>
      </c>
      <c r="X2795" s="23"/>
    </row>
    <row r="2796" spans="1:24" s="1" customFormat="1" ht="26.1" customHeight="1" x14ac:dyDescent="0.3">
      <c r="A2796" s="24" t="s">
        <v>23</v>
      </c>
      <c r="B2796" s="24" t="s">
        <v>3121</v>
      </c>
      <c r="C2796" s="12" t="s">
        <v>3124</v>
      </c>
      <c r="D2796" s="55"/>
      <c r="E2796" s="39" t="str">
        <f>HYPERLINK("https://www.google.ru/search?q=1388672-466&amp;newwindow=1&amp;tbm=isch","Еще фото")</f>
        <v>Еще фото</v>
      </c>
      <c r="F2796" s="13"/>
      <c r="G2796" s="24" t="s">
        <v>2788</v>
      </c>
      <c r="H2796" s="24" t="s">
        <v>27</v>
      </c>
      <c r="I2796" s="24" t="s">
        <v>2784</v>
      </c>
      <c r="J2796" s="14" t="s">
        <v>47</v>
      </c>
      <c r="K2796" s="15" t="s">
        <v>54</v>
      </c>
      <c r="L2796" s="58"/>
      <c r="M2796" s="14"/>
      <c r="N2796" s="14" t="s">
        <v>91</v>
      </c>
      <c r="O2796" s="14"/>
      <c r="P2796" s="15" t="s">
        <v>2601</v>
      </c>
      <c r="Q2796" s="16">
        <v>1999</v>
      </c>
      <c r="R2796" s="17">
        <v>40</v>
      </c>
      <c r="S2796" s="18">
        <v>1379.31</v>
      </c>
      <c r="T2796" s="19" t="s">
        <v>36</v>
      </c>
      <c r="U2796" s="20" t="s">
        <v>59</v>
      </c>
      <c r="V2796" s="21" t="s">
        <v>60</v>
      </c>
      <c r="W2796" s="22">
        <v>1</v>
      </c>
      <c r="X2796" s="23"/>
    </row>
    <row r="2797" spans="1:24" s="1" customFormat="1" ht="108" customHeight="1" x14ac:dyDescent="0.3">
      <c r="A2797" s="11" t="s">
        <v>23</v>
      </c>
      <c r="B2797" s="11" t="s">
        <v>3121</v>
      </c>
      <c r="C2797" s="12" t="s">
        <v>3125</v>
      </c>
      <c r="D2797" s="25"/>
      <c r="E2797" s="39" t="str">
        <f>HYPERLINK("https://www.google.ru/search?q=1388672-498&amp;newwindow=1&amp;tbm=isch","Еще фото")</f>
        <v>Еще фото</v>
      </c>
      <c r="F2797" s="13"/>
      <c r="G2797" s="11" t="s">
        <v>2788</v>
      </c>
      <c r="H2797" s="11" t="s">
        <v>27</v>
      </c>
      <c r="I2797" s="14" t="s">
        <v>2784</v>
      </c>
      <c r="J2797" s="14" t="s">
        <v>47</v>
      </c>
      <c r="K2797" s="15" t="s">
        <v>54</v>
      </c>
      <c r="L2797" s="14" t="s">
        <v>3123</v>
      </c>
      <c r="M2797" s="14"/>
      <c r="N2797" s="14" t="s">
        <v>91</v>
      </c>
      <c r="O2797" s="14"/>
      <c r="P2797" s="15" t="s">
        <v>2601</v>
      </c>
      <c r="Q2797" s="16">
        <v>1999</v>
      </c>
      <c r="R2797" s="17">
        <v>40</v>
      </c>
      <c r="S2797" s="18">
        <v>1379.31</v>
      </c>
      <c r="T2797" s="19" t="s">
        <v>36</v>
      </c>
      <c r="U2797" s="20" t="s">
        <v>114</v>
      </c>
      <c r="V2797" s="21" t="s">
        <v>115</v>
      </c>
      <c r="W2797" s="22">
        <v>2</v>
      </c>
      <c r="X2797" s="23"/>
    </row>
    <row r="2798" spans="1:24" s="1" customFormat="1" ht="108" customHeight="1" x14ac:dyDescent="0.3">
      <c r="A2798" s="11" t="s">
        <v>23</v>
      </c>
      <c r="B2798" s="11" t="s">
        <v>3126</v>
      </c>
      <c r="C2798" s="12" t="s">
        <v>3127</v>
      </c>
      <c r="D2798" s="25"/>
      <c r="E2798" s="39" t="str">
        <f>HYPERLINK("https://www.google.ru/search?q=1388694-348&amp;newwindow=1&amp;tbm=isch","Еще фото")</f>
        <v>Еще фото</v>
      </c>
      <c r="F2798" s="13"/>
      <c r="G2798" s="11" t="s">
        <v>2862</v>
      </c>
      <c r="H2798" s="11" t="s">
        <v>27</v>
      </c>
      <c r="I2798" s="14" t="s">
        <v>2784</v>
      </c>
      <c r="J2798" s="14" t="s">
        <v>29</v>
      </c>
      <c r="K2798" s="15" t="s">
        <v>64</v>
      </c>
      <c r="L2798" s="14" t="s">
        <v>3128</v>
      </c>
      <c r="M2798" s="14"/>
      <c r="N2798" s="14" t="s">
        <v>125</v>
      </c>
      <c r="O2798" s="14"/>
      <c r="P2798" s="15" t="s">
        <v>100</v>
      </c>
      <c r="Q2798" s="16">
        <v>3399</v>
      </c>
      <c r="R2798" s="17">
        <v>40</v>
      </c>
      <c r="S2798" s="18">
        <v>2345.31</v>
      </c>
      <c r="T2798" s="19" t="s">
        <v>36</v>
      </c>
      <c r="U2798" s="20" t="s">
        <v>43</v>
      </c>
      <c r="V2798" s="21" t="s">
        <v>42</v>
      </c>
      <c r="W2798" s="22">
        <v>1</v>
      </c>
      <c r="X2798" s="23"/>
    </row>
    <row r="2799" spans="1:24" s="1" customFormat="1" ht="26.1" customHeight="1" x14ac:dyDescent="0.3">
      <c r="A2799" s="11" t="s">
        <v>23</v>
      </c>
      <c r="B2799" s="11" t="s">
        <v>3129</v>
      </c>
      <c r="C2799" s="12" t="s">
        <v>3130</v>
      </c>
      <c r="D2799" s="53"/>
      <c r="E2799" s="39" t="str">
        <f>HYPERLINK("https://www.google.ru/search?q=1389147-498&amp;newwindow=1&amp;tbm=isch","Еще фото")</f>
        <v>Еще фото</v>
      </c>
      <c r="F2799" s="13" t="s">
        <v>98</v>
      </c>
      <c r="G2799" s="11" t="s">
        <v>2788</v>
      </c>
      <c r="H2799" s="11" t="s">
        <v>27</v>
      </c>
      <c r="I2799" s="14" t="s">
        <v>2784</v>
      </c>
      <c r="J2799" s="14" t="s">
        <v>47</v>
      </c>
      <c r="K2799" s="15" t="s">
        <v>30</v>
      </c>
      <c r="L2799" s="56" t="s">
        <v>3131</v>
      </c>
      <c r="M2799" s="14"/>
      <c r="N2799" s="14" t="s">
        <v>91</v>
      </c>
      <c r="O2799" s="14"/>
      <c r="P2799" s="15" t="s">
        <v>2601</v>
      </c>
      <c r="Q2799" s="16">
        <v>5599</v>
      </c>
      <c r="R2799" s="17">
        <v>40</v>
      </c>
      <c r="S2799" s="18">
        <v>3863.31</v>
      </c>
      <c r="T2799" s="19" t="s">
        <v>36</v>
      </c>
      <c r="U2799" s="20" t="s">
        <v>69</v>
      </c>
      <c r="V2799" s="21" t="s">
        <v>75</v>
      </c>
      <c r="W2799" s="22">
        <v>4</v>
      </c>
      <c r="X2799" s="23"/>
    </row>
    <row r="2800" spans="1:24" s="1" customFormat="1" ht="26.1" customHeight="1" x14ac:dyDescent="0.3">
      <c r="A2800" s="24" t="s">
        <v>23</v>
      </c>
      <c r="B2800" s="24" t="s">
        <v>3129</v>
      </c>
      <c r="C2800" s="12" t="s">
        <v>3130</v>
      </c>
      <c r="D2800" s="54"/>
      <c r="E2800" s="39" t="str">
        <f>HYPERLINK("https://www.google.ru/search?q=1389147-498&amp;newwindow=1&amp;tbm=isch","Еще фото")</f>
        <v>Еще фото</v>
      </c>
      <c r="F2800" s="13" t="s">
        <v>98</v>
      </c>
      <c r="G2800" s="24" t="s">
        <v>2788</v>
      </c>
      <c r="H2800" s="24" t="s">
        <v>27</v>
      </c>
      <c r="I2800" s="24" t="s">
        <v>2784</v>
      </c>
      <c r="J2800" s="14" t="s">
        <v>47</v>
      </c>
      <c r="K2800" s="15" t="s">
        <v>30</v>
      </c>
      <c r="L2800" s="57"/>
      <c r="M2800" s="14"/>
      <c r="N2800" s="14" t="s">
        <v>91</v>
      </c>
      <c r="O2800" s="14"/>
      <c r="P2800" s="15" t="s">
        <v>2601</v>
      </c>
      <c r="Q2800" s="16">
        <v>5599</v>
      </c>
      <c r="R2800" s="17">
        <v>40</v>
      </c>
      <c r="S2800" s="18">
        <v>3863.31</v>
      </c>
      <c r="T2800" s="19" t="s">
        <v>36</v>
      </c>
      <c r="U2800" s="20" t="s">
        <v>37</v>
      </c>
      <c r="V2800" s="21" t="s">
        <v>38</v>
      </c>
      <c r="W2800" s="22">
        <v>2</v>
      </c>
      <c r="X2800" s="23"/>
    </row>
    <row r="2801" spans="1:24" s="1" customFormat="1" ht="26.1" customHeight="1" x14ac:dyDescent="0.3">
      <c r="A2801" s="24" t="s">
        <v>23</v>
      </c>
      <c r="B2801" s="24" t="s">
        <v>3129</v>
      </c>
      <c r="C2801" s="12" t="s">
        <v>3130</v>
      </c>
      <c r="D2801" s="54"/>
      <c r="E2801" s="39" t="str">
        <f>HYPERLINK("https://www.google.ru/search?q=1389147-498&amp;newwindow=1&amp;tbm=isch","Еще фото")</f>
        <v>Еще фото</v>
      </c>
      <c r="F2801" s="13" t="s">
        <v>98</v>
      </c>
      <c r="G2801" s="24" t="s">
        <v>2788</v>
      </c>
      <c r="H2801" s="24" t="s">
        <v>27</v>
      </c>
      <c r="I2801" s="24" t="s">
        <v>2784</v>
      </c>
      <c r="J2801" s="14" t="s">
        <v>47</v>
      </c>
      <c r="K2801" s="15" t="s">
        <v>30</v>
      </c>
      <c r="L2801" s="57"/>
      <c r="M2801" s="14"/>
      <c r="N2801" s="14" t="s">
        <v>91</v>
      </c>
      <c r="O2801" s="14"/>
      <c r="P2801" s="15" t="s">
        <v>2601</v>
      </c>
      <c r="Q2801" s="16">
        <v>5599</v>
      </c>
      <c r="R2801" s="17">
        <v>40</v>
      </c>
      <c r="S2801" s="18">
        <v>3863.31</v>
      </c>
      <c r="T2801" s="19" t="s">
        <v>36</v>
      </c>
      <c r="U2801" s="20" t="s">
        <v>39</v>
      </c>
      <c r="V2801" s="21" t="s">
        <v>40</v>
      </c>
      <c r="W2801" s="22">
        <v>4</v>
      </c>
      <c r="X2801" s="23"/>
    </row>
    <row r="2802" spans="1:24" s="1" customFormat="1" ht="26.1" customHeight="1" x14ac:dyDescent="0.3">
      <c r="A2802" s="24" t="s">
        <v>23</v>
      </c>
      <c r="B2802" s="24" t="s">
        <v>3129</v>
      </c>
      <c r="C2802" s="12" t="s">
        <v>3130</v>
      </c>
      <c r="D2802" s="55"/>
      <c r="E2802" s="39" t="str">
        <f>HYPERLINK("https://www.google.ru/search?q=1389147-498&amp;newwindow=1&amp;tbm=isch","Еще фото")</f>
        <v>Еще фото</v>
      </c>
      <c r="F2802" s="13" t="s">
        <v>98</v>
      </c>
      <c r="G2802" s="24" t="s">
        <v>2788</v>
      </c>
      <c r="H2802" s="24" t="s">
        <v>27</v>
      </c>
      <c r="I2802" s="24" t="s">
        <v>2784</v>
      </c>
      <c r="J2802" s="14" t="s">
        <v>47</v>
      </c>
      <c r="K2802" s="15" t="s">
        <v>30</v>
      </c>
      <c r="L2802" s="58"/>
      <c r="M2802" s="14"/>
      <c r="N2802" s="14" t="s">
        <v>91</v>
      </c>
      <c r="O2802" s="14"/>
      <c r="P2802" s="15" t="s">
        <v>2601</v>
      </c>
      <c r="Q2802" s="16">
        <v>5599</v>
      </c>
      <c r="R2802" s="17">
        <v>40</v>
      </c>
      <c r="S2802" s="18">
        <v>3863.31</v>
      </c>
      <c r="T2802" s="19" t="s">
        <v>36</v>
      </c>
      <c r="U2802" s="20" t="s">
        <v>41</v>
      </c>
      <c r="V2802" s="21" t="s">
        <v>42</v>
      </c>
      <c r="W2802" s="22">
        <v>2</v>
      </c>
      <c r="X2802" s="23"/>
    </row>
    <row r="2803" spans="1:24" s="1" customFormat="1" ht="17.100000000000001" customHeight="1" x14ac:dyDescent="0.3">
      <c r="A2803" s="11" t="s">
        <v>23</v>
      </c>
      <c r="B2803" s="11" t="s">
        <v>3129</v>
      </c>
      <c r="C2803" s="12" t="s">
        <v>3132</v>
      </c>
      <c r="D2803" s="53"/>
      <c r="E2803" s="39" t="str">
        <f t="shared" ref="E2803:E2808" si="55">HYPERLINK("https://www.google.ru/search?q=1389147-919&amp;newwindow=1&amp;tbm=isch","Еще фото")</f>
        <v>Еще фото</v>
      </c>
      <c r="F2803" s="13" t="s">
        <v>98</v>
      </c>
      <c r="G2803" s="11" t="s">
        <v>2788</v>
      </c>
      <c r="H2803" s="11" t="s">
        <v>27</v>
      </c>
      <c r="I2803" s="14" t="s">
        <v>2784</v>
      </c>
      <c r="J2803" s="14" t="s">
        <v>47</v>
      </c>
      <c r="K2803" s="15" t="s">
        <v>30</v>
      </c>
      <c r="L2803" s="56" t="s">
        <v>3131</v>
      </c>
      <c r="M2803" s="14"/>
      <c r="N2803" s="14" t="s">
        <v>125</v>
      </c>
      <c r="O2803" s="14"/>
      <c r="P2803" s="15" t="s">
        <v>2601</v>
      </c>
      <c r="Q2803" s="16">
        <v>5599</v>
      </c>
      <c r="R2803" s="17">
        <v>40</v>
      </c>
      <c r="S2803" s="18">
        <v>3863.31</v>
      </c>
      <c r="T2803" s="19" t="s">
        <v>36</v>
      </c>
      <c r="U2803" s="20" t="s">
        <v>69</v>
      </c>
      <c r="V2803" s="21" t="s">
        <v>75</v>
      </c>
      <c r="W2803" s="22">
        <v>3</v>
      </c>
      <c r="X2803" s="23"/>
    </row>
    <row r="2804" spans="1:24" s="1" customFormat="1" ht="17.100000000000001" customHeight="1" x14ac:dyDescent="0.3">
      <c r="A2804" s="24" t="s">
        <v>23</v>
      </c>
      <c r="B2804" s="24" t="s">
        <v>3129</v>
      </c>
      <c r="C2804" s="12" t="s">
        <v>3132</v>
      </c>
      <c r="D2804" s="54"/>
      <c r="E2804" s="39" t="str">
        <f t="shared" si="55"/>
        <v>Еще фото</v>
      </c>
      <c r="F2804" s="13" t="s">
        <v>98</v>
      </c>
      <c r="G2804" s="24" t="s">
        <v>2788</v>
      </c>
      <c r="H2804" s="24" t="s">
        <v>27</v>
      </c>
      <c r="I2804" s="24" t="s">
        <v>2784</v>
      </c>
      <c r="J2804" s="14" t="s">
        <v>47</v>
      </c>
      <c r="K2804" s="15" t="s">
        <v>30</v>
      </c>
      <c r="L2804" s="57"/>
      <c r="M2804" s="14"/>
      <c r="N2804" s="14" t="s">
        <v>125</v>
      </c>
      <c r="O2804" s="14"/>
      <c r="P2804" s="15" t="s">
        <v>2601</v>
      </c>
      <c r="Q2804" s="16">
        <v>5599</v>
      </c>
      <c r="R2804" s="17">
        <v>40</v>
      </c>
      <c r="S2804" s="18">
        <v>3863.31</v>
      </c>
      <c r="T2804" s="19" t="s">
        <v>36</v>
      </c>
      <c r="U2804" s="20" t="s">
        <v>37</v>
      </c>
      <c r="V2804" s="21" t="s">
        <v>38</v>
      </c>
      <c r="W2804" s="22">
        <v>1</v>
      </c>
      <c r="X2804" s="23"/>
    </row>
    <row r="2805" spans="1:24" s="1" customFormat="1" ht="17.100000000000001" customHeight="1" x14ac:dyDescent="0.3">
      <c r="A2805" s="24" t="s">
        <v>23</v>
      </c>
      <c r="B2805" s="24" t="s">
        <v>3129</v>
      </c>
      <c r="C2805" s="12" t="s">
        <v>3132</v>
      </c>
      <c r="D2805" s="54"/>
      <c r="E2805" s="39" t="str">
        <f t="shared" si="55"/>
        <v>Еще фото</v>
      </c>
      <c r="F2805" s="13" t="s">
        <v>98</v>
      </c>
      <c r="G2805" s="24" t="s">
        <v>2788</v>
      </c>
      <c r="H2805" s="24" t="s">
        <v>27</v>
      </c>
      <c r="I2805" s="24" t="s">
        <v>2784</v>
      </c>
      <c r="J2805" s="14" t="s">
        <v>47</v>
      </c>
      <c r="K2805" s="15" t="s">
        <v>30</v>
      </c>
      <c r="L2805" s="57"/>
      <c r="M2805" s="14"/>
      <c r="N2805" s="14" t="s">
        <v>125</v>
      </c>
      <c r="O2805" s="14"/>
      <c r="P2805" s="15" t="s">
        <v>2601</v>
      </c>
      <c r="Q2805" s="16">
        <v>5599</v>
      </c>
      <c r="R2805" s="17">
        <v>40</v>
      </c>
      <c r="S2805" s="18">
        <v>3863.31</v>
      </c>
      <c r="T2805" s="19" t="s">
        <v>36</v>
      </c>
      <c r="U2805" s="20" t="s">
        <v>39</v>
      </c>
      <c r="V2805" s="21" t="s">
        <v>40</v>
      </c>
      <c r="W2805" s="22">
        <v>1</v>
      </c>
      <c r="X2805" s="23"/>
    </row>
    <row r="2806" spans="1:24" s="1" customFormat="1" ht="17.100000000000001" customHeight="1" x14ac:dyDescent="0.3">
      <c r="A2806" s="24" t="s">
        <v>23</v>
      </c>
      <c r="B2806" s="24" t="s">
        <v>3129</v>
      </c>
      <c r="C2806" s="12" t="s">
        <v>3132</v>
      </c>
      <c r="D2806" s="54"/>
      <c r="E2806" s="39" t="str">
        <f t="shared" si="55"/>
        <v>Еще фото</v>
      </c>
      <c r="F2806" s="13" t="s">
        <v>98</v>
      </c>
      <c r="G2806" s="24" t="s">
        <v>2788</v>
      </c>
      <c r="H2806" s="24" t="s">
        <v>27</v>
      </c>
      <c r="I2806" s="24" t="s">
        <v>2784</v>
      </c>
      <c r="J2806" s="14" t="s">
        <v>47</v>
      </c>
      <c r="K2806" s="15" t="s">
        <v>30</v>
      </c>
      <c r="L2806" s="57"/>
      <c r="M2806" s="14"/>
      <c r="N2806" s="14" t="s">
        <v>125</v>
      </c>
      <c r="O2806" s="14"/>
      <c r="P2806" s="15" t="s">
        <v>2601</v>
      </c>
      <c r="Q2806" s="16">
        <v>5599</v>
      </c>
      <c r="R2806" s="17">
        <v>40</v>
      </c>
      <c r="S2806" s="18">
        <v>3863.31</v>
      </c>
      <c r="T2806" s="19" t="s">
        <v>36</v>
      </c>
      <c r="U2806" s="20" t="s">
        <v>41</v>
      </c>
      <c r="V2806" s="21" t="s">
        <v>42</v>
      </c>
      <c r="W2806" s="22">
        <v>1</v>
      </c>
      <c r="X2806" s="23"/>
    </row>
    <row r="2807" spans="1:24" s="1" customFormat="1" ht="17.100000000000001" customHeight="1" x14ac:dyDescent="0.3">
      <c r="A2807" s="24" t="s">
        <v>23</v>
      </c>
      <c r="B2807" s="24" t="s">
        <v>3129</v>
      </c>
      <c r="C2807" s="12" t="s">
        <v>3132</v>
      </c>
      <c r="D2807" s="54"/>
      <c r="E2807" s="39" t="str">
        <f t="shared" si="55"/>
        <v>Еще фото</v>
      </c>
      <c r="F2807" s="13" t="s">
        <v>98</v>
      </c>
      <c r="G2807" s="24" t="s">
        <v>2788</v>
      </c>
      <c r="H2807" s="24" t="s">
        <v>27</v>
      </c>
      <c r="I2807" s="24" t="s">
        <v>2784</v>
      </c>
      <c r="J2807" s="14" t="s">
        <v>47</v>
      </c>
      <c r="K2807" s="15" t="s">
        <v>30</v>
      </c>
      <c r="L2807" s="57"/>
      <c r="M2807" s="14"/>
      <c r="N2807" s="14" t="s">
        <v>125</v>
      </c>
      <c r="O2807" s="14"/>
      <c r="P2807" s="15" t="s">
        <v>2601</v>
      </c>
      <c r="Q2807" s="16">
        <v>5599</v>
      </c>
      <c r="R2807" s="17">
        <v>40</v>
      </c>
      <c r="S2807" s="18">
        <v>3863.31</v>
      </c>
      <c r="T2807" s="19" t="s">
        <v>36</v>
      </c>
      <c r="U2807" s="20" t="s">
        <v>43</v>
      </c>
      <c r="V2807" s="21" t="s">
        <v>44</v>
      </c>
      <c r="W2807" s="22">
        <v>11</v>
      </c>
      <c r="X2807" s="23"/>
    </row>
    <row r="2808" spans="1:24" s="1" customFormat="1" ht="21.95" customHeight="1" x14ac:dyDescent="0.3">
      <c r="A2808" s="24" t="s">
        <v>23</v>
      </c>
      <c r="B2808" s="24" t="s">
        <v>3129</v>
      </c>
      <c r="C2808" s="12" t="s">
        <v>3132</v>
      </c>
      <c r="D2808" s="55"/>
      <c r="E2808" s="39" t="str">
        <f t="shared" si="55"/>
        <v>Еще фото</v>
      </c>
      <c r="F2808" s="13" t="s">
        <v>98</v>
      </c>
      <c r="G2808" s="24" t="s">
        <v>2788</v>
      </c>
      <c r="H2808" s="24" t="s">
        <v>27</v>
      </c>
      <c r="I2808" s="24" t="s">
        <v>2784</v>
      </c>
      <c r="J2808" s="14" t="s">
        <v>47</v>
      </c>
      <c r="K2808" s="15" t="s">
        <v>30</v>
      </c>
      <c r="L2808" s="58"/>
      <c r="M2808" s="14"/>
      <c r="N2808" s="14" t="s">
        <v>125</v>
      </c>
      <c r="O2808" s="14"/>
      <c r="P2808" s="15" t="s">
        <v>2601</v>
      </c>
      <c r="Q2808" s="16">
        <v>5599</v>
      </c>
      <c r="R2808" s="17">
        <v>40</v>
      </c>
      <c r="S2808" s="18">
        <v>3863.31</v>
      </c>
      <c r="T2808" s="19" t="s">
        <v>36</v>
      </c>
      <c r="U2808" s="20" t="s">
        <v>104</v>
      </c>
      <c r="V2808" s="21" t="s">
        <v>105</v>
      </c>
      <c r="W2808" s="22">
        <v>2</v>
      </c>
      <c r="X2808" s="23"/>
    </row>
    <row r="2809" spans="1:24" s="1" customFormat="1" ht="35.1" customHeight="1" x14ac:dyDescent="0.3">
      <c r="A2809" s="11" t="s">
        <v>23</v>
      </c>
      <c r="B2809" s="11" t="s">
        <v>3133</v>
      </c>
      <c r="C2809" s="12" t="s">
        <v>3134</v>
      </c>
      <c r="D2809" s="53"/>
      <c r="E2809" s="39" t="str">
        <f>HYPERLINK("https://www.google.ru/search?q=1389568-001&amp;newwindow=1&amp;tbm=isch","Еще фото")</f>
        <v>Еще фото</v>
      </c>
      <c r="F2809" s="13"/>
      <c r="G2809" s="11" t="s">
        <v>2788</v>
      </c>
      <c r="H2809" s="11" t="s">
        <v>27</v>
      </c>
      <c r="I2809" s="14" t="s">
        <v>2784</v>
      </c>
      <c r="J2809" s="14" t="s">
        <v>29</v>
      </c>
      <c r="K2809" s="15" t="s">
        <v>64</v>
      </c>
      <c r="L2809" s="56" t="s">
        <v>3135</v>
      </c>
      <c r="M2809" s="14"/>
      <c r="N2809" s="14" t="s">
        <v>33</v>
      </c>
      <c r="O2809" s="14"/>
      <c r="P2809" s="15" t="s">
        <v>2601</v>
      </c>
      <c r="Q2809" s="16">
        <v>5199</v>
      </c>
      <c r="R2809" s="17">
        <v>40</v>
      </c>
      <c r="S2809" s="18">
        <v>3587.31</v>
      </c>
      <c r="T2809" s="19" t="s">
        <v>36</v>
      </c>
      <c r="U2809" s="20" t="s">
        <v>39</v>
      </c>
      <c r="V2809" s="21" t="s">
        <v>38</v>
      </c>
      <c r="W2809" s="22">
        <v>3</v>
      </c>
      <c r="X2809" s="23"/>
    </row>
    <row r="2810" spans="1:24" s="1" customFormat="1" ht="35.1" customHeight="1" x14ac:dyDescent="0.3">
      <c r="A2810" s="24" t="s">
        <v>23</v>
      </c>
      <c r="B2810" s="24" t="s">
        <v>3133</v>
      </c>
      <c r="C2810" s="12" t="s">
        <v>3134</v>
      </c>
      <c r="D2810" s="54"/>
      <c r="E2810" s="39" t="str">
        <f>HYPERLINK("https://www.google.ru/search?q=1389568-001&amp;newwindow=1&amp;tbm=isch","Еще фото")</f>
        <v>Еще фото</v>
      </c>
      <c r="F2810" s="13"/>
      <c r="G2810" s="24" t="s">
        <v>2788</v>
      </c>
      <c r="H2810" s="24" t="s">
        <v>27</v>
      </c>
      <c r="I2810" s="24" t="s">
        <v>2784</v>
      </c>
      <c r="J2810" s="14" t="s">
        <v>29</v>
      </c>
      <c r="K2810" s="15" t="s">
        <v>64</v>
      </c>
      <c r="L2810" s="57"/>
      <c r="M2810" s="14"/>
      <c r="N2810" s="14" t="s">
        <v>33</v>
      </c>
      <c r="O2810" s="14"/>
      <c r="P2810" s="15" t="s">
        <v>2601</v>
      </c>
      <c r="Q2810" s="16">
        <v>5199</v>
      </c>
      <c r="R2810" s="17">
        <v>40</v>
      </c>
      <c r="S2810" s="18">
        <v>3587.31</v>
      </c>
      <c r="T2810" s="19" t="s">
        <v>36</v>
      </c>
      <c r="U2810" s="20" t="s">
        <v>41</v>
      </c>
      <c r="V2810" s="21" t="s">
        <v>40</v>
      </c>
      <c r="W2810" s="22">
        <v>1</v>
      </c>
      <c r="X2810" s="23"/>
    </row>
    <row r="2811" spans="1:24" s="1" customFormat="1" ht="36.950000000000003" customHeight="1" x14ac:dyDescent="0.3">
      <c r="A2811" s="24" t="s">
        <v>23</v>
      </c>
      <c r="B2811" s="24" t="s">
        <v>3133</v>
      </c>
      <c r="C2811" s="12" t="s">
        <v>3134</v>
      </c>
      <c r="D2811" s="55"/>
      <c r="E2811" s="39" t="str">
        <f>HYPERLINK("https://www.google.ru/search?q=1389568-001&amp;newwindow=1&amp;tbm=isch","Еще фото")</f>
        <v>Еще фото</v>
      </c>
      <c r="F2811" s="13"/>
      <c r="G2811" s="24" t="s">
        <v>2788</v>
      </c>
      <c r="H2811" s="24" t="s">
        <v>27</v>
      </c>
      <c r="I2811" s="24" t="s">
        <v>2784</v>
      </c>
      <c r="J2811" s="14" t="s">
        <v>29</v>
      </c>
      <c r="K2811" s="15" t="s">
        <v>64</v>
      </c>
      <c r="L2811" s="58"/>
      <c r="M2811" s="14"/>
      <c r="N2811" s="14" t="s">
        <v>33</v>
      </c>
      <c r="O2811" s="14"/>
      <c r="P2811" s="15" t="s">
        <v>2601</v>
      </c>
      <c r="Q2811" s="16">
        <v>5199</v>
      </c>
      <c r="R2811" s="17">
        <v>40</v>
      </c>
      <c r="S2811" s="18">
        <v>3587.31</v>
      </c>
      <c r="T2811" s="19" t="s">
        <v>36</v>
      </c>
      <c r="U2811" s="20" t="s">
        <v>43</v>
      </c>
      <c r="V2811" s="21" t="s">
        <v>42</v>
      </c>
      <c r="W2811" s="22">
        <v>1</v>
      </c>
      <c r="X2811" s="23"/>
    </row>
    <row r="2812" spans="1:24" s="1" customFormat="1" ht="35.1" customHeight="1" x14ac:dyDescent="0.3">
      <c r="A2812" s="11" t="s">
        <v>23</v>
      </c>
      <c r="B2812" s="11" t="s">
        <v>3133</v>
      </c>
      <c r="C2812" s="12" t="s">
        <v>3136</v>
      </c>
      <c r="D2812" s="53"/>
      <c r="E2812" s="39" t="str">
        <f>HYPERLINK("https://www.google.ru/search?q=1389568-044&amp;newwindow=1&amp;tbm=isch","Еще фото")</f>
        <v>Еще фото</v>
      </c>
      <c r="F2812" s="13"/>
      <c r="G2812" s="11" t="s">
        <v>2788</v>
      </c>
      <c r="H2812" s="11" t="s">
        <v>27</v>
      </c>
      <c r="I2812" s="14" t="s">
        <v>2784</v>
      </c>
      <c r="J2812" s="14" t="s">
        <v>29</v>
      </c>
      <c r="K2812" s="15" t="s">
        <v>64</v>
      </c>
      <c r="L2812" s="56" t="s">
        <v>3135</v>
      </c>
      <c r="M2812" s="14"/>
      <c r="N2812" s="14" t="s">
        <v>84</v>
      </c>
      <c r="O2812" s="14"/>
      <c r="P2812" s="15" t="s">
        <v>2601</v>
      </c>
      <c r="Q2812" s="16">
        <v>5199</v>
      </c>
      <c r="R2812" s="17">
        <v>40</v>
      </c>
      <c r="S2812" s="18">
        <v>3587.31</v>
      </c>
      <c r="T2812" s="19" t="s">
        <v>36</v>
      </c>
      <c r="U2812" s="20" t="s">
        <v>69</v>
      </c>
      <c r="V2812" s="21" t="s">
        <v>70</v>
      </c>
      <c r="W2812" s="22">
        <v>2</v>
      </c>
      <c r="X2812" s="23"/>
    </row>
    <row r="2813" spans="1:24" s="1" customFormat="1" ht="35.1" customHeight="1" x14ac:dyDescent="0.3">
      <c r="A2813" s="24" t="s">
        <v>23</v>
      </c>
      <c r="B2813" s="24" t="s">
        <v>3133</v>
      </c>
      <c r="C2813" s="12" t="s">
        <v>3136</v>
      </c>
      <c r="D2813" s="54"/>
      <c r="E2813" s="39" t="str">
        <f>HYPERLINK("https://www.google.ru/search?q=1389568-044&amp;newwindow=1&amp;tbm=isch","Еще фото")</f>
        <v>Еще фото</v>
      </c>
      <c r="F2813" s="13"/>
      <c r="G2813" s="24" t="s">
        <v>2788</v>
      </c>
      <c r="H2813" s="24" t="s">
        <v>27</v>
      </c>
      <c r="I2813" s="24" t="s">
        <v>2784</v>
      </c>
      <c r="J2813" s="14" t="s">
        <v>29</v>
      </c>
      <c r="K2813" s="15" t="s">
        <v>64</v>
      </c>
      <c r="L2813" s="57"/>
      <c r="M2813" s="14"/>
      <c r="N2813" s="14" t="s">
        <v>84</v>
      </c>
      <c r="O2813" s="14"/>
      <c r="P2813" s="15" t="s">
        <v>2601</v>
      </c>
      <c r="Q2813" s="16">
        <v>5199</v>
      </c>
      <c r="R2813" s="17">
        <v>40</v>
      </c>
      <c r="S2813" s="18">
        <v>3587.31</v>
      </c>
      <c r="T2813" s="19" t="s">
        <v>36</v>
      </c>
      <c r="U2813" s="20" t="s">
        <v>37</v>
      </c>
      <c r="V2813" s="21" t="s">
        <v>86</v>
      </c>
      <c r="W2813" s="22">
        <v>1</v>
      </c>
      <c r="X2813" s="23"/>
    </row>
    <row r="2814" spans="1:24" s="1" customFormat="1" ht="36.950000000000003" customHeight="1" x14ac:dyDescent="0.3">
      <c r="A2814" s="24" t="s">
        <v>23</v>
      </c>
      <c r="B2814" s="24" t="s">
        <v>3133</v>
      </c>
      <c r="C2814" s="12" t="s">
        <v>3136</v>
      </c>
      <c r="D2814" s="55"/>
      <c r="E2814" s="39" t="str">
        <f>HYPERLINK("https://www.google.ru/search?q=1389568-044&amp;newwindow=1&amp;tbm=isch","Еще фото")</f>
        <v>Еще фото</v>
      </c>
      <c r="F2814" s="13"/>
      <c r="G2814" s="24" t="s">
        <v>2788</v>
      </c>
      <c r="H2814" s="24" t="s">
        <v>27</v>
      </c>
      <c r="I2814" s="24" t="s">
        <v>2784</v>
      </c>
      <c r="J2814" s="14" t="s">
        <v>29</v>
      </c>
      <c r="K2814" s="15" t="s">
        <v>64</v>
      </c>
      <c r="L2814" s="58"/>
      <c r="M2814" s="14"/>
      <c r="N2814" s="14" t="s">
        <v>84</v>
      </c>
      <c r="O2814" s="14"/>
      <c r="P2814" s="15" t="s">
        <v>2601</v>
      </c>
      <c r="Q2814" s="16">
        <v>5199</v>
      </c>
      <c r="R2814" s="17">
        <v>40</v>
      </c>
      <c r="S2814" s="18">
        <v>3587.31</v>
      </c>
      <c r="T2814" s="19" t="s">
        <v>36</v>
      </c>
      <c r="U2814" s="20" t="s">
        <v>41</v>
      </c>
      <c r="V2814" s="21" t="s">
        <v>40</v>
      </c>
      <c r="W2814" s="22">
        <v>2</v>
      </c>
      <c r="X2814" s="23"/>
    </row>
    <row r="2815" spans="1:24" s="1" customFormat="1" ht="51.95" customHeight="1" x14ac:dyDescent="0.3">
      <c r="A2815" s="11" t="s">
        <v>23</v>
      </c>
      <c r="B2815" s="11" t="s">
        <v>3137</v>
      </c>
      <c r="C2815" s="12" t="s">
        <v>3138</v>
      </c>
      <c r="D2815" s="59"/>
      <c r="E2815" s="39" t="str">
        <f>HYPERLINK("https://www.google.ru/search?q=1389707-299&amp;newwindow=1&amp;tbm=isch","Еще фото")</f>
        <v>Еще фото</v>
      </c>
      <c r="F2815" s="13"/>
      <c r="G2815" s="11" t="s">
        <v>2809</v>
      </c>
      <c r="H2815" s="11" t="s">
        <v>27</v>
      </c>
      <c r="I2815" s="14" t="s">
        <v>2784</v>
      </c>
      <c r="J2815" s="14" t="s">
        <v>29</v>
      </c>
      <c r="K2815" s="15" t="s">
        <v>64</v>
      </c>
      <c r="L2815" s="56" t="s">
        <v>3139</v>
      </c>
      <c r="M2815" s="14"/>
      <c r="N2815" s="14" t="s">
        <v>215</v>
      </c>
      <c r="O2815" s="14"/>
      <c r="P2815" s="15" t="s">
        <v>3140</v>
      </c>
      <c r="Q2815" s="16">
        <v>9199</v>
      </c>
      <c r="R2815" s="17">
        <v>40</v>
      </c>
      <c r="S2815" s="18">
        <v>6347.3099999999995</v>
      </c>
      <c r="T2815" s="19" t="s">
        <v>36</v>
      </c>
      <c r="U2815" s="20" t="s">
        <v>69</v>
      </c>
      <c r="V2815" s="21" t="s">
        <v>70</v>
      </c>
      <c r="W2815" s="22">
        <v>1</v>
      </c>
      <c r="X2815" s="23"/>
    </row>
    <row r="2816" spans="1:24" s="1" customFormat="1" ht="60.95" customHeight="1" x14ac:dyDescent="0.3">
      <c r="A2816" s="24" t="s">
        <v>23</v>
      </c>
      <c r="B2816" s="24" t="s">
        <v>3137</v>
      </c>
      <c r="C2816" s="12" t="s">
        <v>3138</v>
      </c>
      <c r="D2816" s="60"/>
      <c r="E2816" s="39" t="str">
        <f>HYPERLINK("https://www.google.ru/search?q=1389707-299&amp;newwindow=1&amp;tbm=isch","Еще фото")</f>
        <v>Еще фото</v>
      </c>
      <c r="F2816" s="13"/>
      <c r="G2816" s="24" t="s">
        <v>2809</v>
      </c>
      <c r="H2816" s="24" t="s">
        <v>27</v>
      </c>
      <c r="I2816" s="24" t="s">
        <v>2784</v>
      </c>
      <c r="J2816" s="14" t="s">
        <v>29</v>
      </c>
      <c r="K2816" s="15" t="s">
        <v>64</v>
      </c>
      <c r="L2816" s="58"/>
      <c r="M2816" s="14"/>
      <c r="N2816" s="14" t="s">
        <v>215</v>
      </c>
      <c r="O2816" s="14"/>
      <c r="P2816" s="15" t="s">
        <v>3140</v>
      </c>
      <c r="Q2816" s="16">
        <v>9199</v>
      </c>
      <c r="R2816" s="17">
        <v>40</v>
      </c>
      <c r="S2816" s="18">
        <v>6347.3099999999995</v>
      </c>
      <c r="T2816" s="19" t="s">
        <v>36</v>
      </c>
      <c r="U2816" s="20" t="s">
        <v>41</v>
      </c>
      <c r="V2816" s="21" t="s">
        <v>40</v>
      </c>
      <c r="W2816" s="22">
        <v>1</v>
      </c>
      <c r="X2816" s="23"/>
    </row>
    <row r="2817" spans="1:24" s="1" customFormat="1" ht="51.95" customHeight="1" x14ac:dyDescent="0.3">
      <c r="A2817" s="11" t="s">
        <v>23</v>
      </c>
      <c r="B2817" s="11" t="s">
        <v>3141</v>
      </c>
      <c r="C2817" s="12" t="s">
        <v>3142</v>
      </c>
      <c r="D2817" s="59"/>
      <c r="E2817" s="39" t="str">
        <f>HYPERLINK("https://www.google.ru/search?q=1389716-001&amp;newwindow=1&amp;tbm=isch","Еще фото")</f>
        <v>Еще фото</v>
      </c>
      <c r="F2817" s="13"/>
      <c r="G2817" s="11" t="s">
        <v>2788</v>
      </c>
      <c r="H2817" s="11" t="s">
        <v>27</v>
      </c>
      <c r="I2817" s="14" t="s">
        <v>2784</v>
      </c>
      <c r="J2817" s="14" t="s">
        <v>47</v>
      </c>
      <c r="K2817" s="15" t="s">
        <v>64</v>
      </c>
      <c r="L2817" s="56" t="s">
        <v>3143</v>
      </c>
      <c r="M2817" s="14"/>
      <c r="N2817" s="14" t="s">
        <v>33</v>
      </c>
      <c r="O2817" s="14"/>
      <c r="P2817" s="15" t="s">
        <v>2920</v>
      </c>
      <c r="Q2817" s="16">
        <v>7099</v>
      </c>
      <c r="R2817" s="17">
        <v>40</v>
      </c>
      <c r="S2817" s="18">
        <v>4898.3099999999995</v>
      </c>
      <c r="T2817" s="19" t="s">
        <v>36</v>
      </c>
      <c r="U2817" s="20" t="s">
        <v>37</v>
      </c>
      <c r="V2817" s="21" t="s">
        <v>86</v>
      </c>
      <c r="W2817" s="22">
        <v>2</v>
      </c>
      <c r="X2817" s="23"/>
    </row>
    <row r="2818" spans="1:24" s="1" customFormat="1" ht="60.95" customHeight="1" x14ac:dyDescent="0.3">
      <c r="A2818" s="24" t="s">
        <v>23</v>
      </c>
      <c r="B2818" s="24" t="s">
        <v>3141</v>
      </c>
      <c r="C2818" s="12" t="s">
        <v>3142</v>
      </c>
      <c r="D2818" s="60"/>
      <c r="E2818" s="39" t="str">
        <f>HYPERLINK("https://www.google.ru/search?q=1389716-001&amp;newwindow=1&amp;tbm=isch","Еще фото")</f>
        <v>Еще фото</v>
      </c>
      <c r="F2818" s="13"/>
      <c r="G2818" s="24" t="s">
        <v>2788</v>
      </c>
      <c r="H2818" s="24" t="s">
        <v>27</v>
      </c>
      <c r="I2818" s="24" t="s">
        <v>2784</v>
      </c>
      <c r="J2818" s="14" t="s">
        <v>47</v>
      </c>
      <c r="K2818" s="15" t="s">
        <v>64</v>
      </c>
      <c r="L2818" s="58"/>
      <c r="M2818" s="14"/>
      <c r="N2818" s="14" t="s">
        <v>33</v>
      </c>
      <c r="O2818" s="14"/>
      <c r="P2818" s="15" t="s">
        <v>2920</v>
      </c>
      <c r="Q2818" s="16">
        <v>7099</v>
      </c>
      <c r="R2818" s="17">
        <v>40</v>
      </c>
      <c r="S2818" s="18">
        <v>4898.3099999999995</v>
      </c>
      <c r="T2818" s="19" t="s">
        <v>36</v>
      </c>
      <c r="U2818" s="20" t="s">
        <v>41</v>
      </c>
      <c r="V2818" s="21" t="s">
        <v>40</v>
      </c>
      <c r="W2818" s="22">
        <v>1</v>
      </c>
      <c r="X2818" s="23"/>
    </row>
    <row r="2819" spans="1:24" s="1" customFormat="1" ht="108" customHeight="1" x14ac:dyDescent="0.3">
      <c r="A2819" s="11" t="s">
        <v>23</v>
      </c>
      <c r="B2819" s="11" t="s">
        <v>2860</v>
      </c>
      <c r="C2819" s="12" t="s">
        <v>3144</v>
      </c>
      <c r="D2819" s="25"/>
      <c r="E2819" s="39" t="str">
        <f>HYPERLINK("https://www.google.ru/search?q=1389851-520&amp;newwindow=1&amp;tbm=isch","Еще фото")</f>
        <v>Еще фото</v>
      </c>
      <c r="F2819" s="13"/>
      <c r="G2819" s="11" t="s">
        <v>2862</v>
      </c>
      <c r="H2819" s="11" t="s">
        <v>27</v>
      </c>
      <c r="I2819" s="14" t="s">
        <v>2784</v>
      </c>
      <c r="J2819" s="14" t="s">
        <v>29</v>
      </c>
      <c r="K2819" s="15" t="s">
        <v>64</v>
      </c>
      <c r="L2819" s="14" t="s">
        <v>2863</v>
      </c>
      <c r="M2819" s="14"/>
      <c r="N2819" s="14" t="s">
        <v>67</v>
      </c>
      <c r="O2819" s="14"/>
      <c r="P2819" s="15" t="s">
        <v>185</v>
      </c>
      <c r="Q2819" s="16">
        <v>2799</v>
      </c>
      <c r="R2819" s="17">
        <v>40</v>
      </c>
      <c r="S2819" s="18">
        <v>1931.31</v>
      </c>
      <c r="T2819" s="19" t="s">
        <v>36</v>
      </c>
      <c r="U2819" s="20" t="s">
        <v>39</v>
      </c>
      <c r="V2819" s="21" t="s">
        <v>38</v>
      </c>
      <c r="W2819" s="22">
        <v>1</v>
      </c>
      <c r="X2819" s="23"/>
    </row>
    <row r="2820" spans="1:24" s="1" customFormat="1" ht="108" customHeight="1" x14ac:dyDescent="0.3">
      <c r="A2820" s="11" t="s">
        <v>23</v>
      </c>
      <c r="B2820" s="11" t="s">
        <v>3145</v>
      </c>
      <c r="C2820" s="12" t="s">
        <v>3146</v>
      </c>
      <c r="D2820" s="25"/>
      <c r="E2820" s="39" t="str">
        <f>HYPERLINK("https://www.google.ru/search?q=1389935-989&amp;newwindow=1&amp;tbm=isch","Еще фото")</f>
        <v>Еще фото</v>
      </c>
      <c r="F2820" s="13"/>
      <c r="G2820" s="11" t="s">
        <v>2862</v>
      </c>
      <c r="H2820" s="11" t="s">
        <v>27</v>
      </c>
      <c r="I2820" s="14" t="s">
        <v>2784</v>
      </c>
      <c r="J2820" s="14" t="s">
        <v>47</v>
      </c>
      <c r="K2820" s="15" t="s">
        <v>30</v>
      </c>
      <c r="L2820" s="14" t="s">
        <v>3147</v>
      </c>
      <c r="M2820" s="14"/>
      <c r="N2820" s="14" t="s">
        <v>140</v>
      </c>
      <c r="O2820" s="14"/>
      <c r="P2820" s="15" t="s">
        <v>2801</v>
      </c>
      <c r="Q2820" s="16">
        <v>8399</v>
      </c>
      <c r="R2820" s="17">
        <v>40</v>
      </c>
      <c r="S2820" s="18">
        <v>5795.3099999999995</v>
      </c>
      <c r="T2820" s="19" t="s">
        <v>36</v>
      </c>
      <c r="U2820" s="20" t="s">
        <v>39</v>
      </c>
      <c r="V2820" s="21" t="s">
        <v>40</v>
      </c>
      <c r="W2820" s="22">
        <v>1</v>
      </c>
      <c r="X2820" s="23"/>
    </row>
    <row r="2821" spans="1:24" s="1" customFormat="1" ht="51.95" customHeight="1" x14ac:dyDescent="0.3">
      <c r="A2821" s="11" t="s">
        <v>23</v>
      </c>
      <c r="B2821" s="11" t="s">
        <v>3148</v>
      </c>
      <c r="C2821" s="12" t="s">
        <v>3149</v>
      </c>
      <c r="D2821" s="59"/>
      <c r="E2821" s="39" t="str">
        <f>HYPERLINK("https://www.google.ru/search?q=1389962-001&amp;newwindow=1&amp;tbm=isch","Еще фото")</f>
        <v>Еще фото</v>
      </c>
      <c r="F2821" s="13"/>
      <c r="G2821" s="11" t="s">
        <v>2788</v>
      </c>
      <c r="H2821" s="11" t="s">
        <v>27</v>
      </c>
      <c r="I2821" s="14" t="s">
        <v>2784</v>
      </c>
      <c r="J2821" s="14" t="s">
        <v>47</v>
      </c>
      <c r="K2821" s="15" t="s">
        <v>54</v>
      </c>
      <c r="L2821" s="56" t="s">
        <v>3150</v>
      </c>
      <c r="M2821" s="14"/>
      <c r="N2821" s="14" t="s">
        <v>33</v>
      </c>
      <c r="O2821" s="14"/>
      <c r="P2821" s="15" t="s">
        <v>2856</v>
      </c>
      <c r="Q2821" s="16">
        <v>1999</v>
      </c>
      <c r="R2821" s="17">
        <v>40</v>
      </c>
      <c r="S2821" s="18">
        <v>1379.31</v>
      </c>
      <c r="T2821" s="19" t="s">
        <v>36</v>
      </c>
      <c r="U2821" s="20" t="s">
        <v>114</v>
      </c>
      <c r="V2821" s="21" t="s">
        <v>115</v>
      </c>
      <c r="W2821" s="22">
        <v>5</v>
      </c>
      <c r="X2821" s="23"/>
    </row>
    <row r="2822" spans="1:24" s="1" customFormat="1" ht="60.95" customHeight="1" x14ac:dyDescent="0.3">
      <c r="A2822" s="24" t="s">
        <v>23</v>
      </c>
      <c r="B2822" s="24" t="s">
        <v>3148</v>
      </c>
      <c r="C2822" s="12" t="s">
        <v>3149</v>
      </c>
      <c r="D2822" s="60"/>
      <c r="E2822" s="39" t="str">
        <f>HYPERLINK("https://www.google.ru/search?q=1389962-001&amp;newwindow=1&amp;tbm=isch","Еще фото")</f>
        <v>Еще фото</v>
      </c>
      <c r="F2822" s="13"/>
      <c r="G2822" s="24" t="s">
        <v>2788</v>
      </c>
      <c r="H2822" s="24" t="s">
        <v>27</v>
      </c>
      <c r="I2822" s="24" t="s">
        <v>2784</v>
      </c>
      <c r="J2822" s="14" t="s">
        <v>47</v>
      </c>
      <c r="K2822" s="15" t="s">
        <v>54</v>
      </c>
      <c r="L2822" s="58"/>
      <c r="M2822" s="14"/>
      <c r="N2822" s="14" t="s">
        <v>33</v>
      </c>
      <c r="O2822" s="14"/>
      <c r="P2822" s="15" t="s">
        <v>2856</v>
      </c>
      <c r="Q2822" s="16">
        <v>1999</v>
      </c>
      <c r="R2822" s="17">
        <v>40</v>
      </c>
      <c r="S2822" s="18">
        <v>1379.31</v>
      </c>
      <c r="T2822" s="19" t="s">
        <v>36</v>
      </c>
      <c r="U2822" s="20" t="s">
        <v>126</v>
      </c>
      <c r="V2822" s="21" t="s">
        <v>127</v>
      </c>
      <c r="W2822" s="22">
        <v>9</v>
      </c>
      <c r="X2822" s="23"/>
    </row>
    <row r="2823" spans="1:24" s="1" customFormat="1" ht="35.1" customHeight="1" x14ac:dyDescent="0.3">
      <c r="A2823" s="11" t="s">
        <v>23</v>
      </c>
      <c r="B2823" s="11" t="s">
        <v>3148</v>
      </c>
      <c r="C2823" s="12" t="s">
        <v>3151</v>
      </c>
      <c r="D2823" s="53"/>
      <c r="E2823" s="39" t="str">
        <f>HYPERLINK("https://www.google.ru/search?q=1389962-012&amp;newwindow=1&amp;tbm=isch","Еще фото")</f>
        <v>Еще фото</v>
      </c>
      <c r="F2823" s="13"/>
      <c r="G2823" s="11" t="s">
        <v>2788</v>
      </c>
      <c r="H2823" s="11" t="s">
        <v>27</v>
      </c>
      <c r="I2823" s="14" t="s">
        <v>2784</v>
      </c>
      <c r="J2823" s="14" t="s">
        <v>47</v>
      </c>
      <c r="K2823" s="15" t="s">
        <v>54</v>
      </c>
      <c r="L2823" s="56" t="s">
        <v>3150</v>
      </c>
      <c r="M2823" s="14"/>
      <c r="N2823" s="14" t="s">
        <v>84</v>
      </c>
      <c r="O2823" s="14"/>
      <c r="P2823" s="15" t="s">
        <v>2601</v>
      </c>
      <c r="Q2823" s="16">
        <v>1999</v>
      </c>
      <c r="R2823" s="17">
        <v>40</v>
      </c>
      <c r="S2823" s="18">
        <v>1379.31</v>
      </c>
      <c r="T2823" s="19" t="s">
        <v>36</v>
      </c>
      <c r="U2823" s="20" t="s">
        <v>114</v>
      </c>
      <c r="V2823" s="21" t="s">
        <v>115</v>
      </c>
      <c r="W2823" s="22">
        <v>2</v>
      </c>
      <c r="X2823" s="23"/>
    </row>
    <row r="2824" spans="1:24" s="1" customFormat="1" ht="35.1" customHeight="1" x14ac:dyDescent="0.3">
      <c r="A2824" s="24" t="s">
        <v>23</v>
      </c>
      <c r="B2824" s="24" t="s">
        <v>3148</v>
      </c>
      <c r="C2824" s="12" t="s">
        <v>3151</v>
      </c>
      <c r="D2824" s="54"/>
      <c r="E2824" s="39" t="str">
        <f>HYPERLINK("https://www.google.ru/search?q=1389962-012&amp;newwindow=1&amp;tbm=isch","Еще фото")</f>
        <v>Еще фото</v>
      </c>
      <c r="F2824" s="13"/>
      <c r="G2824" s="24" t="s">
        <v>2788</v>
      </c>
      <c r="H2824" s="24" t="s">
        <v>27</v>
      </c>
      <c r="I2824" s="24" t="s">
        <v>2784</v>
      </c>
      <c r="J2824" s="14" t="s">
        <v>47</v>
      </c>
      <c r="K2824" s="15" t="s">
        <v>54</v>
      </c>
      <c r="L2824" s="57"/>
      <c r="M2824" s="14"/>
      <c r="N2824" s="14" t="s">
        <v>84</v>
      </c>
      <c r="O2824" s="14"/>
      <c r="P2824" s="15" t="s">
        <v>2601</v>
      </c>
      <c r="Q2824" s="16">
        <v>1999</v>
      </c>
      <c r="R2824" s="17">
        <v>40</v>
      </c>
      <c r="S2824" s="18">
        <v>1379.31</v>
      </c>
      <c r="T2824" s="19" t="s">
        <v>36</v>
      </c>
      <c r="U2824" s="20" t="s">
        <v>126</v>
      </c>
      <c r="V2824" s="21" t="s">
        <v>127</v>
      </c>
      <c r="W2824" s="22">
        <v>1</v>
      </c>
      <c r="X2824" s="23"/>
    </row>
    <row r="2825" spans="1:24" s="1" customFormat="1" ht="36.950000000000003" customHeight="1" x14ac:dyDescent="0.3">
      <c r="A2825" s="24" t="s">
        <v>23</v>
      </c>
      <c r="B2825" s="24" t="s">
        <v>3148</v>
      </c>
      <c r="C2825" s="12" t="s">
        <v>3151</v>
      </c>
      <c r="D2825" s="55"/>
      <c r="E2825" s="39" t="str">
        <f>HYPERLINK("https://www.google.ru/search?q=1389962-012&amp;newwindow=1&amp;tbm=isch","Еще фото")</f>
        <v>Еще фото</v>
      </c>
      <c r="F2825" s="13"/>
      <c r="G2825" s="24" t="s">
        <v>2788</v>
      </c>
      <c r="H2825" s="24" t="s">
        <v>27</v>
      </c>
      <c r="I2825" s="24" t="s">
        <v>2784</v>
      </c>
      <c r="J2825" s="14" t="s">
        <v>47</v>
      </c>
      <c r="K2825" s="15" t="s">
        <v>54</v>
      </c>
      <c r="L2825" s="58"/>
      <c r="M2825" s="14"/>
      <c r="N2825" s="14" t="s">
        <v>84</v>
      </c>
      <c r="O2825" s="14"/>
      <c r="P2825" s="15" t="s">
        <v>2601</v>
      </c>
      <c r="Q2825" s="16">
        <v>1999</v>
      </c>
      <c r="R2825" s="17">
        <v>40</v>
      </c>
      <c r="S2825" s="18">
        <v>1379.31</v>
      </c>
      <c r="T2825" s="19" t="s">
        <v>36</v>
      </c>
      <c r="U2825" s="20" t="s">
        <v>59</v>
      </c>
      <c r="V2825" s="21" t="s">
        <v>60</v>
      </c>
      <c r="W2825" s="22">
        <v>3</v>
      </c>
      <c r="X2825" s="23"/>
    </row>
    <row r="2826" spans="1:24" s="1" customFormat="1" ht="51.95" customHeight="1" x14ac:dyDescent="0.3">
      <c r="A2826" s="11" t="s">
        <v>23</v>
      </c>
      <c r="B2826" s="11" t="s">
        <v>3148</v>
      </c>
      <c r="C2826" s="12" t="s">
        <v>3152</v>
      </c>
      <c r="D2826" s="59"/>
      <c r="E2826" s="39" t="str">
        <f>HYPERLINK("https://www.google.ru/search?q=1389962-466&amp;newwindow=1&amp;tbm=isch","Еще фото")</f>
        <v>Еще фото</v>
      </c>
      <c r="F2826" s="13"/>
      <c r="G2826" s="11" t="s">
        <v>2788</v>
      </c>
      <c r="H2826" s="11" t="s">
        <v>27</v>
      </c>
      <c r="I2826" s="14" t="s">
        <v>2784</v>
      </c>
      <c r="J2826" s="14" t="s">
        <v>47</v>
      </c>
      <c r="K2826" s="15" t="s">
        <v>54</v>
      </c>
      <c r="L2826" s="56"/>
      <c r="M2826" s="14"/>
      <c r="N2826" s="14" t="s">
        <v>50</v>
      </c>
      <c r="O2826" s="14"/>
      <c r="P2826" s="15" t="s">
        <v>2856</v>
      </c>
      <c r="Q2826" s="16">
        <v>1999</v>
      </c>
      <c r="R2826" s="17">
        <v>40</v>
      </c>
      <c r="S2826" s="18">
        <v>1379.31</v>
      </c>
      <c r="T2826" s="19" t="s">
        <v>36</v>
      </c>
      <c r="U2826" s="20" t="s">
        <v>114</v>
      </c>
      <c r="V2826" s="21" t="s">
        <v>115</v>
      </c>
      <c r="W2826" s="22">
        <v>1</v>
      </c>
      <c r="X2826" s="23"/>
    </row>
    <row r="2827" spans="1:24" s="1" customFormat="1" ht="60.95" customHeight="1" x14ac:dyDescent="0.3">
      <c r="A2827" s="24" t="s">
        <v>23</v>
      </c>
      <c r="B2827" s="24" t="s">
        <v>3148</v>
      </c>
      <c r="C2827" s="12" t="s">
        <v>3152</v>
      </c>
      <c r="D2827" s="60"/>
      <c r="E2827" s="39" t="str">
        <f>HYPERLINK("https://www.google.ru/search?q=1389962-466&amp;newwindow=1&amp;tbm=isch","Еще фото")</f>
        <v>Еще фото</v>
      </c>
      <c r="F2827" s="13"/>
      <c r="G2827" s="24" t="s">
        <v>2788</v>
      </c>
      <c r="H2827" s="24" t="s">
        <v>27</v>
      </c>
      <c r="I2827" s="24" t="s">
        <v>2784</v>
      </c>
      <c r="J2827" s="14" t="s">
        <v>47</v>
      </c>
      <c r="K2827" s="15" t="s">
        <v>54</v>
      </c>
      <c r="L2827" s="58"/>
      <c r="M2827" s="14"/>
      <c r="N2827" s="14" t="s">
        <v>50</v>
      </c>
      <c r="O2827" s="14"/>
      <c r="P2827" s="15" t="s">
        <v>2856</v>
      </c>
      <c r="Q2827" s="16">
        <v>1999</v>
      </c>
      <c r="R2827" s="17">
        <v>40</v>
      </c>
      <c r="S2827" s="18">
        <v>1379.31</v>
      </c>
      <c r="T2827" s="19" t="s">
        <v>36</v>
      </c>
      <c r="U2827" s="20" t="s">
        <v>126</v>
      </c>
      <c r="V2827" s="21" t="s">
        <v>127</v>
      </c>
      <c r="W2827" s="22">
        <v>4</v>
      </c>
      <c r="X2827" s="23"/>
    </row>
    <row r="2828" spans="1:24" s="1" customFormat="1" ht="108" customHeight="1" x14ac:dyDescent="0.3">
      <c r="A2828" s="11" t="s">
        <v>23</v>
      </c>
      <c r="B2828" s="11" t="s">
        <v>3148</v>
      </c>
      <c r="C2828" s="12" t="s">
        <v>3153</v>
      </c>
      <c r="D2828" s="25"/>
      <c r="E2828" s="39" t="str">
        <f>HYPERLINK("https://www.google.ru/search?q=1389962-690&amp;newwindow=1&amp;tbm=isch","Еще фото")</f>
        <v>Еще фото</v>
      </c>
      <c r="F2828" s="13"/>
      <c r="G2828" s="11" t="s">
        <v>2788</v>
      </c>
      <c r="H2828" s="11" t="s">
        <v>27</v>
      </c>
      <c r="I2828" s="14" t="s">
        <v>2784</v>
      </c>
      <c r="J2828" s="14" t="s">
        <v>47</v>
      </c>
      <c r="K2828" s="15" t="s">
        <v>54</v>
      </c>
      <c r="L2828" s="14" t="s">
        <v>3150</v>
      </c>
      <c r="M2828" s="14"/>
      <c r="N2828" s="14" t="s">
        <v>140</v>
      </c>
      <c r="O2828" s="14"/>
      <c r="P2828" s="15" t="s">
        <v>2601</v>
      </c>
      <c r="Q2828" s="16">
        <v>1999</v>
      </c>
      <c r="R2828" s="17">
        <v>40</v>
      </c>
      <c r="S2828" s="18">
        <v>1379.31</v>
      </c>
      <c r="T2828" s="19" t="s">
        <v>36</v>
      </c>
      <c r="U2828" s="20" t="s">
        <v>114</v>
      </c>
      <c r="V2828" s="21" t="s">
        <v>115</v>
      </c>
      <c r="W2828" s="22">
        <v>2</v>
      </c>
      <c r="X2828" s="23"/>
    </row>
    <row r="2829" spans="1:24" s="1" customFormat="1" ht="35.1" customHeight="1" x14ac:dyDescent="0.3">
      <c r="A2829" s="11" t="s">
        <v>23</v>
      </c>
      <c r="B2829" s="11" t="s">
        <v>3148</v>
      </c>
      <c r="C2829" s="12" t="s">
        <v>3154</v>
      </c>
      <c r="D2829" s="53"/>
      <c r="E2829" s="39" t="str">
        <f>HYPERLINK("https://www.google.ru/search?q=1389962-870&amp;newwindow=1&amp;tbm=isch","Еще фото")</f>
        <v>Еще фото</v>
      </c>
      <c r="F2829" s="13"/>
      <c r="G2829" s="11" t="s">
        <v>2788</v>
      </c>
      <c r="H2829" s="11" t="s">
        <v>27</v>
      </c>
      <c r="I2829" s="14" t="s">
        <v>2784</v>
      </c>
      <c r="J2829" s="14" t="s">
        <v>47</v>
      </c>
      <c r="K2829" s="15" t="s">
        <v>54</v>
      </c>
      <c r="L2829" s="56"/>
      <c r="M2829" s="14"/>
      <c r="N2829" s="14" t="s">
        <v>434</v>
      </c>
      <c r="O2829" s="14"/>
      <c r="P2829" s="15" t="s">
        <v>2856</v>
      </c>
      <c r="Q2829" s="16">
        <v>1999</v>
      </c>
      <c r="R2829" s="17">
        <v>40</v>
      </c>
      <c r="S2829" s="18">
        <v>1379.31</v>
      </c>
      <c r="T2829" s="19" t="s">
        <v>36</v>
      </c>
      <c r="U2829" s="20" t="s">
        <v>114</v>
      </c>
      <c r="V2829" s="21" t="s">
        <v>115</v>
      </c>
      <c r="W2829" s="22">
        <v>6</v>
      </c>
      <c r="X2829" s="23"/>
    </row>
    <row r="2830" spans="1:24" s="1" customFormat="1" ht="35.1" customHeight="1" x14ac:dyDescent="0.3">
      <c r="A2830" s="24" t="s">
        <v>23</v>
      </c>
      <c r="B2830" s="24" t="s">
        <v>3148</v>
      </c>
      <c r="C2830" s="12" t="s">
        <v>3154</v>
      </c>
      <c r="D2830" s="54"/>
      <c r="E2830" s="39" t="str">
        <f>HYPERLINK("https://www.google.ru/search?q=1389962-870&amp;newwindow=1&amp;tbm=isch","Еще фото")</f>
        <v>Еще фото</v>
      </c>
      <c r="F2830" s="13"/>
      <c r="G2830" s="24" t="s">
        <v>2788</v>
      </c>
      <c r="H2830" s="24" t="s">
        <v>27</v>
      </c>
      <c r="I2830" s="24" t="s">
        <v>2784</v>
      </c>
      <c r="J2830" s="14" t="s">
        <v>47</v>
      </c>
      <c r="K2830" s="15" t="s">
        <v>54</v>
      </c>
      <c r="L2830" s="57"/>
      <c r="M2830" s="14"/>
      <c r="N2830" s="14" t="s">
        <v>434</v>
      </c>
      <c r="O2830" s="14"/>
      <c r="P2830" s="15" t="s">
        <v>2856</v>
      </c>
      <c r="Q2830" s="16">
        <v>1999</v>
      </c>
      <c r="R2830" s="17">
        <v>40</v>
      </c>
      <c r="S2830" s="18">
        <v>1379.31</v>
      </c>
      <c r="T2830" s="19" t="s">
        <v>36</v>
      </c>
      <c r="U2830" s="20" t="s">
        <v>126</v>
      </c>
      <c r="V2830" s="21" t="s">
        <v>127</v>
      </c>
      <c r="W2830" s="22">
        <v>4</v>
      </c>
      <c r="X2830" s="23"/>
    </row>
    <row r="2831" spans="1:24" s="1" customFormat="1" ht="36.950000000000003" customHeight="1" x14ac:dyDescent="0.3">
      <c r="A2831" s="24" t="s">
        <v>23</v>
      </c>
      <c r="B2831" s="24" t="s">
        <v>3148</v>
      </c>
      <c r="C2831" s="12" t="s">
        <v>3154</v>
      </c>
      <c r="D2831" s="55"/>
      <c r="E2831" s="39" t="str">
        <f>HYPERLINK("https://www.google.ru/search?q=1389962-870&amp;newwindow=1&amp;tbm=isch","Еще фото")</f>
        <v>Еще фото</v>
      </c>
      <c r="F2831" s="13"/>
      <c r="G2831" s="24" t="s">
        <v>2788</v>
      </c>
      <c r="H2831" s="24" t="s">
        <v>27</v>
      </c>
      <c r="I2831" s="24" t="s">
        <v>2784</v>
      </c>
      <c r="J2831" s="14" t="s">
        <v>47</v>
      </c>
      <c r="K2831" s="15" t="s">
        <v>54</v>
      </c>
      <c r="L2831" s="58"/>
      <c r="M2831" s="14"/>
      <c r="N2831" s="14" t="s">
        <v>434</v>
      </c>
      <c r="O2831" s="14"/>
      <c r="P2831" s="15" t="s">
        <v>2856</v>
      </c>
      <c r="Q2831" s="16">
        <v>1999</v>
      </c>
      <c r="R2831" s="17">
        <v>40</v>
      </c>
      <c r="S2831" s="18">
        <v>1379.31</v>
      </c>
      <c r="T2831" s="19" t="s">
        <v>36</v>
      </c>
      <c r="U2831" s="20" t="s">
        <v>59</v>
      </c>
      <c r="V2831" s="21" t="s">
        <v>60</v>
      </c>
      <c r="W2831" s="22">
        <v>2</v>
      </c>
      <c r="X2831" s="23"/>
    </row>
    <row r="2832" spans="1:24" s="1" customFormat="1" ht="35.1" customHeight="1" x14ac:dyDescent="0.3">
      <c r="A2832" s="11" t="s">
        <v>23</v>
      </c>
      <c r="B2832" s="11" t="s">
        <v>3155</v>
      </c>
      <c r="C2832" s="12" t="s">
        <v>3156</v>
      </c>
      <c r="D2832" s="53"/>
      <c r="E2832" s="39" t="str">
        <f>HYPERLINK("https://www.google.ru/search?q=1390066-466&amp;newwindow=1&amp;tbm=isch","Еще фото")</f>
        <v>Еще фото</v>
      </c>
      <c r="F2832" s="13"/>
      <c r="G2832" s="11" t="s">
        <v>2809</v>
      </c>
      <c r="H2832" s="11" t="s">
        <v>27</v>
      </c>
      <c r="I2832" s="14" t="s">
        <v>2784</v>
      </c>
      <c r="J2832" s="14" t="s">
        <v>29</v>
      </c>
      <c r="K2832" s="15" t="s">
        <v>54</v>
      </c>
      <c r="L2832" s="56"/>
      <c r="M2832" s="14"/>
      <c r="N2832" s="14" t="s">
        <v>91</v>
      </c>
      <c r="O2832" s="14"/>
      <c r="P2832" s="15" t="s">
        <v>203</v>
      </c>
      <c r="Q2832" s="16">
        <v>2599</v>
      </c>
      <c r="R2832" s="17">
        <v>40</v>
      </c>
      <c r="S2832" s="18">
        <v>1793.31</v>
      </c>
      <c r="T2832" s="19" t="s">
        <v>36</v>
      </c>
      <c r="U2832" s="20" t="s">
        <v>114</v>
      </c>
      <c r="V2832" s="21" t="s">
        <v>115</v>
      </c>
      <c r="W2832" s="22">
        <v>4</v>
      </c>
      <c r="X2832" s="23"/>
    </row>
    <row r="2833" spans="1:24" s="1" customFormat="1" ht="35.1" customHeight="1" x14ac:dyDescent="0.3">
      <c r="A2833" s="24" t="s">
        <v>23</v>
      </c>
      <c r="B2833" s="24" t="s">
        <v>3155</v>
      </c>
      <c r="C2833" s="12" t="s">
        <v>3156</v>
      </c>
      <c r="D2833" s="54"/>
      <c r="E2833" s="39" t="str">
        <f>HYPERLINK("https://www.google.ru/search?q=1390066-466&amp;newwindow=1&amp;tbm=isch","Еще фото")</f>
        <v>Еще фото</v>
      </c>
      <c r="F2833" s="13"/>
      <c r="G2833" s="24" t="s">
        <v>2809</v>
      </c>
      <c r="H2833" s="24" t="s">
        <v>27</v>
      </c>
      <c r="I2833" s="24" t="s">
        <v>2784</v>
      </c>
      <c r="J2833" s="14" t="s">
        <v>29</v>
      </c>
      <c r="K2833" s="15" t="s">
        <v>54</v>
      </c>
      <c r="L2833" s="57"/>
      <c r="M2833" s="14"/>
      <c r="N2833" s="14" t="s">
        <v>91</v>
      </c>
      <c r="O2833" s="14"/>
      <c r="P2833" s="15" t="s">
        <v>203</v>
      </c>
      <c r="Q2833" s="16">
        <v>2599</v>
      </c>
      <c r="R2833" s="17">
        <v>40</v>
      </c>
      <c r="S2833" s="18">
        <v>1793.31</v>
      </c>
      <c r="T2833" s="19" t="s">
        <v>36</v>
      </c>
      <c r="U2833" s="20" t="s">
        <v>126</v>
      </c>
      <c r="V2833" s="21" t="s">
        <v>127</v>
      </c>
      <c r="W2833" s="22">
        <v>1</v>
      </c>
      <c r="X2833" s="23"/>
    </row>
    <row r="2834" spans="1:24" s="1" customFormat="1" ht="36.950000000000003" customHeight="1" x14ac:dyDescent="0.3">
      <c r="A2834" s="24" t="s">
        <v>23</v>
      </c>
      <c r="B2834" s="24" t="s">
        <v>3155</v>
      </c>
      <c r="C2834" s="12" t="s">
        <v>3156</v>
      </c>
      <c r="D2834" s="55"/>
      <c r="E2834" s="39" t="str">
        <f>HYPERLINK("https://www.google.ru/search?q=1390066-466&amp;newwindow=1&amp;tbm=isch","Еще фото")</f>
        <v>Еще фото</v>
      </c>
      <c r="F2834" s="13"/>
      <c r="G2834" s="24" t="s">
        <v>2809</v>
      </c>
      <c r="H2834" s="24" t="s">
        <v>27</v>
      </c>
      <c r="I2834" s="24" t="s">
        <v>2784</v>
      </c>
      <c r="J2834" s="14" t="s">
        <v>29</v>
      </c>
      <c r="K2834" s="15" t="s">
        <v>54</v>
      </c>
      <c r="L2834" s="58"/>
      <c r="M2834" s="14"/>
      <c r="N2834" s="14" t="s">
        <v>91</v>
      </c>
      <c r="O2834" s="14"/>
      <c r="P2834" s="15" t="s">
        <v>203</v>
      </c>
      <c r="Q2834" s="16">
        <v>2599</v>
      </c>
      <c r="R2834" s="17">
        <v>40</v>
      </c>
      <c r="S2834" s="18">
        <v>1793.31</v>
      </c>
      <c r="T2834" s="19" t="s">
        <v>36</v>
      </c>
      <c r="U2834" s="20" t="s">
        <v>59</v>
      </c>
      <c r="V2834" s="21" t="s">
        <v>60</v>
      </c>
      <c r="W2834" s="22">
        <v>9</v>
      </c>
      <c r="X2834" s="23"/>
    </row>
    <row r="2835" spans="1:24" s="1" customFormat="1" ht="108" customHeight="1" x14ac:dyDescent="0.3">
      <c r="A2835" s="11" t="s">
        <v>23</v>
      </c>
      <c r="B2835" s="11" t="s">
        <v>3155</v>
      </c>
      <c r="C2835" s="12" t="s">
        <v>3157</v>
      </c>
      <c r="D2835" s="25"/>
      <c r="E2835" s="39" t="str">
        <f>HYPERLINK("https://www.google.ru/search?q=1390066-600&amp;newwindow=1&amp;tbm=isch","Еще фото")</f>
        <v>Еще фото</v>
      </c>
      <c r="F2835" s="13"/>
      <c r="G2835" s="11" t="s">
        <v>2809</v>
      </c>
      <c r="H2835" s="11" t="s">
        <v>27</v>
      </c>
      <c r="I2835" s="14" t="s">
        <v>2784</v>
      </c>
      <c r="J2835" s="14" t="s">
        <v>29</v>
      </c>
      <c r="K2835" s="15" t="s">
        <v>54</v>
      </c>
      <c r="L2835" s="14" t="s">
        <v>3158</v>
      </c>
      <c r="M2835" s="14"/>
      <c r="N2835" s="14" t="s">
        <v>57</v>
      </c>
      <c r="O2835" s="14"/>
      <c r="P2835" s="15" t="s">
        <v>141</v>
      </c>
      <c r="Q2835" s="16">
        <v>2599</v>
      </c>
      <c r="R2835" s="17">
        <v>40</v>
      </c>
      <c r="S2835" s="18">
        <v>1793.31</v>
      </c>
      <c r="T2835" s="19" t="s">
        <v>36</v>
      </c>
      <c r="U2835" s="20" t="s">
        <v>59</v>
      </c>
      <c r="V2835" s="21" t="s">
        <v>60</v>
      </c>
      <c r="W2835" s="22">
        <v>6</v>
      </c>
      <c r="X2835" s="23"/>
    </row>
    <row r="2836" spans="1:24" s="1" customFormat="1" ht="108" customHeight="1" x14ac:dyDescent="0.3">
      <c r="A2836" s="11" t="s">
        <v>23</v>
      </c>
      <c r="B2836" s="11" t="s">
        <v>3159</v>
      </c>
      <c r="C2836" s="12" t="s">
        <v>3160</v>
      </c>
      <c r="D2836" s="25"/>
      <c r="E2836" s="39" t="str">
        <f>HYPERLINK("https://www.google.ru/search?q=1390300-100&amp;newwindow=1&amp;tbm=isch","Еще фото")</f>
        <v>Еще фото</v>
      </c>
      <c r="F2836" s="13"/>
      <c r="G2836" s="11" t="s">
        <v>2788</v>
      </c>
      <c r="H2836" s="11" t="s">
        <v>27</v>
      </c>
      <c r="I2836" s="14" t="s">
        <v>2784</v>
      </c>
      <c r="J2836" s="14" t="s">
        <v>47</v>
      </c>
      <c r="K2836" s="15" t="s">
        <v>30</v>
      </c>
      <c r="L2836" s="14" t="s">
        <v>3161</v>
      </c>
      <c r="M2836" s="14"/>
      <c r="N2836" s="14" t="s">
        <v>74</v>
      </c>
      <c r="O2836" s="14"/>
      <c r="P2836" s="15" t="s">
        <v>2601</v>
      </c>
      <c r="Q2836" s="16">
        <v>4499</v>
      </c>
      <c r="R2836" s="17">
        <v>40</v>
      </c>
      <c r="S2836" s="18">
        <v>3104.31</v>
      </c>
      <c r="T2836" s="19" t="s">
        <v>36</v>
      </c>
      <c r="U2836" s="20" t="s">
        <v>39</v>
      </c>
      <c r="V2836" s="21" t="s">
        <v>40</v>
      </c>
      <c r="W2836" s="22">
        <v>1</v>
      </c>
      <c r="X2836" s="23"/>
    </row>
    <row r="2837" spans="1:24" s="1" customFormat="1" ht="35.1" customHeight="1" x14ac:dyDescent="0.3">
      <c r="A2837" s="11" t="s">
        <v>23</v>
      </c>
      <c r="B2837" s="11" t="s">
        <v>3162</v>
      </c>
      <c r="C2837" s="12" t="s">
        <v>3163</v>
      </c>
      <c r="D2837" s="53"/>
      <c r="E2837" s="39" t="str">
        <f>HYPERLINK("https://www.google.ru/search?q=6000264-001&amp;newwindow=1&amp;tbm=isch","Еще фото")</f>
        <v>Еще фото</v>
      </c>
      <c r="F2837" s="13"/>
      <c r="G2837" s="11" t="s">
        <v>2788</v>
      </c>
      <c r="H2837" s="11" t="s">
        <v>27</v>
      </c>
      <c r="I2837" s="14" t="s">
        <v>2784</v>
      </c>
      <c r="J2837" s="14" t="s">
        <v>47</v>
      </c>
      <c r="K2837" s="15" t="s">
        <v>64</v>
      </c>
      <c r="L2837" s="56" t="s">
        <v>3164</v>
      </c>
      <c r="M2837" s="14"/>
      <c r="N2837" s="14" t="s">
        <v>33</v>
      </c>
      <c r="O2837" s="14"/>
      <c r="P2837" s="15" t="s">
        <v>2801</v>
      </c>
      <c r="Q2837" s="16">
        <v>2799</v>
      </c>
      <c r="R2837" s="17">
        <v>40</v>
      </c>
      <c r="S2837" s="18">
        <v>1931.31</v>
      </c>
      <c r="T2837" s="19" t="s">
        <v>36</v>
      </c>
      <c r="U2837" s="20" t="s">
        <v>69</v>
      </c>
      <c r="V2837" s="21" t="s">
        <v>70</v>
      </c>
      <c r="W2837" s="22">
        <v>1</v>
      </c>
      <c r="X2837" s="23"/>
    </row>
    <row r="2838" spans="1:24" s="1" customFormat="1" ht="35.1" customHeight="1" x14ac:dyDescent="0.3">
      <c r="A2838" s="24" t="s">
        <v>23</v>
      </c>
      <c r="B2838" s="24" t="s">
        <v>3162</v>
      </c>
      <c r="C2838" s="12" t="s">
        <v>3163</v>
      </c>
      <c r="D2838" s="54"/>
      <c r="E2838" s="39" t="str">
        <f>HYPERLINK("https://www.google.ru/search?q=6000264-001&amp;newwindow=1&amp;tbm=isch","Еще фото")</f>
        <v>Еще фото</v>
      </c>
      <c r="F2838" s="13"/>
      <c r="G2838" s="24" t="s">
        <v>2788</v>
      </c>
      <c r="H2838" s="24" t="s">
        <v>27</v>
      </c>
      <c r="I2838" s="24" t="s">
        <v>2784</v>
      </c>
      <c r="J2838" s="14" t="s">
        <v>47</v>
      </c>
      <c r="K2838" s="15" t="s">
        <v>64</v>
      </c>
      <c r="L2838" s="57"/>
      <c r="M2838" s="14"/>
      <c r="N2838" s="14" t="s">
        <v>33</v>
      </c>
      <c r="O2838" s="14"/>
      <c r="P2838" s="15" t="s">
        <v>2801</v>
      </c>
      <c r="Q2838" s="16">
        <v>2799</v>
      </c>
      <c r="R2838" s="17">
        <v>40</v>
      </c>
      <c r="S2838" s="18">
        <v>1931.31</v>
      </c>
      <c r="T2838" s="19" t="s">
        <v>36</v>
      </c>
      <c r="U2838" s="20" t="s">
        <v>39</v>
      </c>
      <c r="V2838" s="21" t="s">
        <v>38</v>
      </c>
      <c r="W2838" s="22">
        <v>8</v>
      </c>
      <c r="X2838" s="23"/>
    </row>
    <row r="2839" spans="1:24" s="1" customFormat="1" ht="36.950000000000003" customHeight="1" x14ac:dyDescent="0.3">
      <c r="A2839" s="24" t="s">
        <v>23</v>
      </c>
      <c r="B2839" s="24" t="s">
        <v>3162</v>
      </c>
      <c r="C2839" s="12" t="s">
        <v>3163</v>
      </c>
      <c r="D2839" s="55"/>
      <c r="E2839" s="39" t="str">
        <f>HYPERLINK("https://www.google.ru/search?q=6000264-001&amp;newwindow=1&amp;tbm=isch","Еще фото")</f>
        <v>Еще фото</v>
      </c>
      <c r="F2839" s="13"/>
      <c r="G2839" s="24" t="s">
        <v>2788</v>
      </c>
      <c r="H2839" s="24" t="s">
        <v>27</v>
      </c>
      <c r="I2839" s="24" t="s">
        <v>2784</v>
      </c>
      <c r="J2839" s="14" t="s">
        <v>47</v>
      </c>
      <c r="K2839" s="15" t="s">
        <v>64</v>
      </c>
      <c r="L2839" s="58"/>
      <c r="M2839" s="14"/>
      <c r="N2839" s="14" t="s">
        <v>33</v>
      </c>
      <c r="O2839" s="14"/>
      <c r="P2839" s="15" t="s">
        <v>2801</v>
      </c>
      <c r="Q2839" s="16">
        <v>2799</v>
      </c>
      <c r="R2839" s="17">
        <v>40</v>
      </c>
      <c r="S2839" s="18">
        <v>1931.31</v>
      </c>
      <c r="T2839" s="19" t="s">
        <v>36</v>
      </c>
      <c r="U2839" s="20" t="s">
        <v>41</v>
      </c>
      <c r="V2839" s="21" t="s">
        <v>40</v>
      </c>
      <c r="W2839" s="22">
        <v>13</v>
      </c>
      <c r="X2839" s="23"/>
    </row>
    <row r="2840" spans="1:24" s="1" customFormat="1" ht="35.1" customHeight="1" x14ac:dyDescent="0.3">
      <c r="A2840" s="11" t="s">
        <v>23</v>
      </c>
      <c r="B2840" s="11" t="s">
        <v>3162</v>
      </c>
      <c r="C2840" s="12" t="s">
        <v>3165</v>
      </c>
      <c r="D2840" s="53"/>
      <c r="E2840" s="39" t="str">
        <f>HYPERLINK("https://www.google.ru/search?q=6000264-100&amp;newwindow=1&amp;tbm=isch","Еще фото")</f>
        <v>Еще фото</v>
      </c>
      <c r="F2840" s="13"/>
      <c r="G2840" s="11" t="s">
        <v>2788</v>
      </c>
      <c r="H2840" s="11" t="s">
        <v>27</v>
      </c>
      <c r="I2840" s="14" t="s">
        <v>2784</v>
      </c>
      <c r="J2840" s="14" t="s">
        <v>47</v>
      </c>
      <c r="K2840" s="15" t="s">
        <v>64</v>
      </c>
      <c r="L2840" s="56" t="s">
        <v>3164</v>
      </c>
      <c r="M2840" s="14"/>
      <c r="N2840" s="14" t="s">
        <v>74</v>
      </c>
      <c r="O2840" s="14"/>
      <c r="P2840" s="15" t="s">
        <v>2801</v>
      </c>
      <c r="Q2840" s="16">
        <v>2799</v>
      </c>
      <c r="R2840" s="17">
        <v>40</v>
      </c>
      <c r="S2840" s="18">
        <v>1931.31</v>
      </c>
      <c r="T2840" s="19" t="s">
        <v>36</v>
      </c>
      <c r="U2840" s="20" t="s">
        <v>37</v>
      </c>
      <c r="V2840" s="21" t="s">
        <v>86</v>
      </c>
      <c r="W2840" s="22">
        <v>1</v>
      </c>
      <c r="X2840" s="23"/>
    </row>
    <row r="2841" spans="1:24" s="1" customFormat="1" ht="35.1" customHeight="1" x14ac:dyDescent="0.3">
      <c r="A2841" s="24" t="s">
        <v>23</v>
      </c>
      <c r="B2841" s="24" t="s">
        <v>3162</v>
      </c>
      <c r="C2841" s="12" t="s">
        <v>3165</v>
      </c>
      <c r="D2841" s="54"/>
      <c r="E2841" s="39" t="str">
        <f>HYPERLINK("https://www.google.ru/search?q=6000264-100&amp;newwindow=1&amp;tbm=isch","Еще фото")</f>
        <v>Еще фото</v>
      </c>
      <c r="F2841" s="13"/>
      <c r="G2841" s="24" t="s">
        <v>2788</v>
      </c>
      <c r="H2841" s="24" t="s">
        <v>27</v>
      </c>
      <c r="I2841" s="24" t="s">
        <v>2784</v>
      </c>
      <c r="J2841" s="14" t="s">
        <v>47</v>
      </c>
      <c r="K2841" s="15" t="s">
        <v>64</v>
      </c>
      <c r="L2841" s="57"/>
      <c r="M2841" s="14"/>
      <c r="N2841" s="14" t="s">
        <v>74</v>
      </c>
      <c r="O2841" s="14"/>
      <c r="P2841" s="15" t="s">
        <v>2801</v>
      </c>
      <c r="Q2841" s="16">
        <v>2799</v>
      </c>
      <c r="R2841" s="17">
        <v>40</v>
      </c>
      <c r="S2841" s="18">
        <v>1931.31</v>
      </c>
      <c r="T2841" s="19" t="s">
        <v>36</v>
      </c>
      <c r="U2841" s="20" t="s">
        <v>39</v>
      </c>
      <c r="V2841" s="21" t="s">
        <v>38</v>
      </c>
      <c r="W2841" s="22">
        <v>7</v>
      </c>
      <c r="X2841" s="23"/>
    </row>
    <row r="2842" spans="1:24" s="1" customFormat="1" ht="36.950000000000003" customHeight="1" x14ac:dyDescent="0.3">
      <c r="A2842" s="24" t="s">
        <v>23</v>
      </c>
      <c r="B2842" s="24" t="s">
        <v>3162</v>
      </c>
      <c r="C2842" s="12" t="s">
        <v>3165</v>
      </c>
      <c r="D2842" s="55"/>
      <c r="E2842" s="39" t="str">
        <f>HYPERLINK("https://www.google.ru/search?q=6000264-100&amp;newwindow=1&amp;tbm=isch","Еще фото")</f>
        <v>Еще фото</v>
      </c>
      <c r="F2842" s="13"/>
      <c r="G2842" s="24" t="s">
        <v>2788</v>
      </c>
      <c r="H2842" s="24" t="s">
        <v>27</v>
      </c>
      <c r="I2842" s="24" t="s">
        <v>2784</v>
      </c>
      <c r="J2842" s="14" t="s">
        <v>47</v>
      </c>
      <c r="K2842" s="15" t="s">
        <v>64</v>
      </c>
      <c r="L2842" s="58"/>
      <c r="M2842" s="14"/>
      <c r="N2842" s="14" t="s">
        <v>74</v>
      </c>
      <c r="O2842" s="14"/>
      <c r="P2842" s="15" t="s">
        <v>2801</v>
      </c>
      <c r="Q2842" s="16">
        <v>2799</v>
      </c>
      <c r="R2842" s="17">
        <v>40</v>
      </c>
      <c r="S2842" s="18">
        <v>1931.31</v>
      </c>
      <c r="T2842" s="19" t="s">
        <v>36</v>
      </c>
      <c r="U2842" s="20" t="s">
        <v>41</v>
      </c>
      <c r="V2842" s="21" t="s">
        <v>40</v>
      </c>
      <c r="W2842" s="22">
        <v>8</v>
      </c>
      <c r="X2842" s="23"/>
    </row>
    <row r="2843" spans="1:24" s="1" customFormat="1" ht="26.1" customHeight="1" x14ac:dyDescent="0.3">
      <c r="A2843" s="11" t="s">
        <v>23</v>
      </c>
      <c r="B2843" s="11" t="s">
        <v>3017</v>
      </c>
      <c r="C2843" s="12" t="s">
        <v>3166</v>
      </c>
      <c r="D2843" s="53"/>
      <c r="E2843" s="39" t="str">
        <f>HYPERLINK("https://www.google.ru/search?q=6000642-466&amp;newwindow=1&amp;tbm=isch","Еще фото")</f>
        <v>Еще фото</v>
      </c>
      <c r="F2843" s="13"/>
      <c r="G2843" s="11" t="s">
        <v>2788</v>
      </c>
      <c r="H2843" s="11" t="s">
        <v>27</v>
      </c>
      <c r="I2843" s="14" t="s">
        <v>2784</v>
      </c>
      <c r="J2843" s="14" t="s">
        <v>29</v>
      </c>
      <c r="K2843" s="15" t="s">
        <v>64</v>
      </c>
      <c r="L2843" s="56" t="s">
        <v>3167</v>
      </c>
      <c r="M2843" s="14"/>
      <c r="N2843" s="14" t="s">
        <v>91</v>
      </c>
      <c r="O2843" s="14"/>
      <c r="P2843" s="15" t="s">
        <v>2913</v>
      </c>
      <c r="Q2843" s="16">
        <v>5999</v>
      </c>
      <c r="R2843" s="17">
        <v>40</v>
      </c>
      <c r="S2843" s="18">
        <v>4139.3099999999995</v>
      </c>
      <c r="T2843" s="19" t="s">
        <v>36</v>
      </c>
      <c r="U2843" s="20" t="s">
        <v>69</v>
      </c>
      <c r="V2843" s="21" t="s">
        <v>70</v>
      </c>
      <c r="W2843" s="22">
        <v>4</v>
      </c>
      <c r="X2843" s="23"/>
    </row>
    <row r="2844" spans="1:24" s="1" customFormat="1" ht="26.1" customHeight="1" x14ac:dyDescent="0.3">
      <c r="A2844" s="24" t="s">
        <v>23</v>
      </c>
      <c r="B2844" s="24" t="s">
        <v>3017</v>
      </c>
      <c r="C2844" s="12" t="s">
        <v>3166</v>
      </c>
      <c r="D2844" s="54"/>
      <c r="E2844" s="39" t="str">
        <f>HYPERLINK("https://www.google.ru/search?q=6000642-466&amp;newwindow=1&amp;tbm=isch","Еще фото")</f>
        <v>Еще фото</v>
      </c>
      <c r="F2844" s="13"/>
      <c r="G2844" s="24" t="s">
        <v>2788</v>
      </c>
      <c r="H2844" s="24" t="s">
        <v>27</v>
      </c>
      <c r="I2844" s="24" t="s">
        <v>2784</v>
      </c>
      <c r="J2844" s="14" t="s">
        <v>29</v>
      </c>
      <c r="K2844" s="15" t="s">
        <v>64</v>
      </c>
      <c r="L2844" s="57"/>
      <c r="M2844" s="14"/>
      <c r="N2844" s="14" t="s">
        <v>91</v>
      </c>
      <c r="O2844" s="14"/>
      <c r="P2844" s="15" t="s">
        <v>2913</v>
      </c>
      <c r="Q2844" s="16">
        <v>5999</v>
      </c>
      <c r="R2844" s="17">
        <v>40</v>
      </c>
      <c r="S2844" s="18">
        <v>4139.3099999999995</v>
      </c>
      <c r="T2844" s="19" t="s">
        <v>36</v>
      </c>
      <c r="U2844" s="20" t="s">
        <v>37</v>
      </c>
      <c r="V2844" s="21" t="s">
        <v>86</v>
      </c>
      <c r="W2844" s="22">
        <v>4</v>
      </c>
      <c r="X2844" s="23"/>
    </row>
    <row r="2845" spans="1:24" s="1" customFormat="1" ht="26.1" customHeight="1" x14ac:dyDescent="0.3">
      <c r="A2845" s="24" t="s">
        <v>23</v>
      </c>
      <c r="B2845" s="24" t="s">
        <v>3017</v>
      </c>
      <c r="C2845" s="12" t="s">
        <v>3166</v>
      </c>
      <c r="D2845" s="54"/>
      <c r="E2845" s="39" t="str">
        <f>HYPERLINK("https://www.google.ru/search?q=6000642-466&amp;newwindow=1&amp;tbm=isch","Еще фото")</f>
        <v>Еще фото</v>
      </c>
      <c r="F2845" s="13"/>
      <c r="G2845" s="24" t="s">
        <v>2788</v>
      </c>
      <c r="H2845" s="24" t="s">
        <v>27</v>
      </c>
      <c r="I2845" s="24" t="s">
        <v>2784</v>
      </c>
      <c r="J2845" s="14" t="s">
        <v>29</v>
      </c>
      <c r="K2845" s="15" t="s">
        <v>64</v>
      </c>
      <c r="L2845" s="57"/>
      <c r="M2845" s="14"/>
      <c r="N2845" s="14" t="s">
        <v>91</v>
      </c>
      <c r="O2845" s="14"/>
      <c r="P2845" s="15" t="s">
        <v>2913</v>
      </c>
      <c r="Q2845" s="16">
        <v>5999</v>
      </c>
      <c r="R2845" s="17">
        <v>40</v>
      </c>
      <c r="S2845" s="18">
        <v>4139.3099999999995</v>
      </c>
      <c r="T2845" s="19" t="s">
        <v>36</v>
      </c>
      <c r="U2845" s="20" t="s">
        <v>41</v>
      </c>
      <c r="V2845" s="21" t="s">
        <v>40</v>
      </c>
      <c r="W2845" s="22">
        <v>3</v>
      </c>
      <c r="X2845" s="23"/>
    </row>
    <row r="2846" spans="1:24" s="1" customFormat="1" ht="26.1" customHeight="1" x14ac:dyDescent="0.3">
      <c r="A2846" s="24" t="s">
        <v>23</v>
      </c>
      <c r="B2846" s="24" t="s">
        <v>3017</v>
      </c>
      <c r="C2846" s="12" t="s">
        <v>3166</v>
      </c>
      <c r="D2846" s="55"/>
      <c r="E2846" s="39" t="str">
        <f>HYPERLINK("https://www.google.ru/search?q=6000642-466&amp;newwindow=1&amp;tbm=isch","Еще фото")</f>
        <v>Еще фото</v>
      </c>
      <c r="F2846" s="13"/>
      <c r="G2846" s="24" t="s">
        <v>2788</v>
      </c>
      <c r="H2846" s="24" t="s">
        <v>27</v>
      </c>
      <c r="I2846" s="24" t="s">
        <v>2784</v>
      </c>
      <c r="J2846" s="14" t="s">
        <v>29</v>
      </c>
      <c r="K2846" s="15" t="s">
        <v>64</v>
      </c>
      <c r="L2846" s="58"/>
      <c r="M2846" s="14"/>
      <c r="N2846" s="14" t="s">
        <v>91</v>
      </c>
      <c r="O2846" s="14"/>
      <c r="P2846" s="15" t="s">
        <v>2913</v>
      </c>
      <c r="Q2846" s="16">
        <v>5999</v>
      </c>
      <c r="R2846" s="17">
        <v>40</v>
      </c>
      <c r="S2846" s="18">
        <v>4139.3099999999995</v>
      </c>
      <c r="T2846" s="19" t="s">
        <v>36</v>
      </c>
      <c r="U2846" s="20" t="s">
        <v>43</v>
      </c>
      <c r="V2846" s="21" t="s">
        <v>42</v>
      </c>
      <c r="W2846" s="22">
        <v>12</v>
      </c>
      <c r="X2846" s="23"/>
    </row>
    <row r="2847" spans="1:24" s="1" customFormat="1" ht="51.95" customHeight="1" x14ac:dyDescent="0.3">
      <c r="A2847" s="11" t="s">
        <v>23</v>
      </c>
      <c r="B2847" s="11" t="s">
        <v>3168</v>
      </c>
      <c r="C2847" s="12" t="s">
        <v>3169</v>
      </c>
      <c r="D2847" s="59"/>
      <c r="E2847" s="39" t="str">
        <f>HYPERLINK("https://www.google.ru/search?q=6000939-001&amp;newwindow=1&amp;tbm=isch","Еще фото")</f>
        <v>Еще фото</v>
      </c>
      <c r="F2847" s="13" t="s">
        <v>98</v>
      </c>
      <c r="G2847" s="11" t="s">
        <v>2788</v>
      </c>
      <c r="H2847" s="11" t="s">
        <v>27</v>
      </c>
      <c r="I2847" s="14" t="s">
        <v>2784</v>
      </c>
      <c r="J2847" s="14" t="s">
        <v>29</v>
      </c>
      <c r="K2847" s="15" t="s">
        <v>30</v>
      </c>
      <c r="L2847" s="56" t="s">
        <v>3170</v>
      </c>
      <c r="M2847" s="14"/>
      <c r="N2847" s="14" t="s">
        <v>33</v>
      </c>
      <c r="O2847" s="14"/>
      <c r="P2847" s="15" t="s">
        <v>393</v>
      </c>
      <c r="Q2847" s="16">
        <v>5699</v>
      </c>
      <c r="R2847" s="17">
        <v>40</v>
      </c>
      <c r="S2847" s="18">
        <v>3932.31</v>
      </c>
      <c r="T2847" s="19" t="s">
        <v>36</v>
      </c>
      <c r="U2847" s="20" t="s">
        <v>37</v>
      </c>
      <c r="V2847" s="21" t="s">
        <v>38</v>
      </c>
      <c r="W2847" s="22">
        <v>1</v>
      </c>
      <c r="X2847" s="23"/>
    </row>
    <row r="2848" spans="1:24" s="1" customFormat="1" ht="60.95" customHeight="1" x14ac:dyDescent="0.3">
      <c r="A2848" s="24" t="s">
        <v>23</v>
      </c>
      <c r="B2848" s="24" t="s">
        <v>3168</v>
      </c>
      <c r="C2848" s="12" t="s">
        <v>3169</v>
      </c>
      <c r="D2848" s="60"/>
      <c r="E2848" s="39" t="str">
        <f>HYPERLINK("https://www.google.ru/search?q=6000939-001&amp;newwindow=1&amp;tbm=isch","Еще фото")</f>
        <v>Еще фото</v>
      </c>
      <c r="F2848" s="13" t="s">
        <v>98</v>
      </c>
      <c r="G2848" s="24" t="s">
        <v>2788</v>
      </c>
      <c r="H2848" s="24" t="s">
        <v>27</v>
      </c>
      <c r="I2848" s="24" t="s">
        <v>2784</v>
      </c>
      <c r="J2848" s="14" t="s">
        <v>29</v>
      </c>
      <c r="K2848" s="15" t="s">
        <v>30</v>
      </c>
      <c r="L2848" s="58"/>
      <c r="M2848" s="14"/>
      <c r="N2848" s="14" t="s">
        <v>33</v>
      </c>
      <c r="O2848" s="14"/>
      <c r="P2848" s="15" t="s">
        <v>393</v>
      </c>
      <c r="Q2848" s="16">
        <v>5699</v>
      </c>
      <c r="R2848" s="17">
        <v>40</v>
      </c>
      <c r="S2848" s="18">
        <v>3932.31</v>
      </c>
      <c r="T2848" s="19" t="s">
        <v>36</v>
      </c>
      <c r="U2848" s="20" t="s">
        <v>39</v>
      </c>
      <c r="V2848" s="21" t="s">
        <v>40</v>
      </c>
      <c r="W2848" s="22">
        <v>1</v>
      </c>
      <c r="X2848" s="23"/>
    </row>
    <row r="2849" spans="1:24" s="1" customFormat="1" ht="51.95" customHeight="1" x14ac:dyDescent="0.3">
      <c r="A2849" s="11" t="s">
        <v>23</v>
      </c>
      <c r="B2849" s="11" t="s">
        <v>3168</v>
      </c>
      <c r="C2849" s="12" t="s">
        <v>3171</v>
      </c>
      <c r="D2849" s="59"/>
      <c r="E2849" s="39" t="str">
        <f>HYPERLINK("https://www.google.ru/search?q=6000939-410&amp;newwindow=1&amp;tbm=isch","Еще фото")</f>
        <v>Еще фото</v>
      </c>
      <c r="F2849" s="13"/>
      <c r="G2849" s="11" t="s">
        <v>2788</v>
      </c>
      <c r="H2849" s="11" t="s">
        <v>27</v>
      </c>
      <c r="I2849" s="14" t="s">
        <v>2784</v>
      </c>
      <c r="J2849" s="14" t="s">
        <v>29</v>
      </c>
      <c r="K2849" s="15" t="s">
        <v>30</v>
      </c>
      <c r="L2849" s="56" t="s">
        <v>3170</v>
      </c>
      <c r="M2849" s="14"/>
      <c r="N2849" s="14" t="s">
        <v>91</v>
      </c>
      <c r="O2849" s="14"/>
      <c r="P2849" s="15" t="s">
        <v>393</v>
      </c>
      <c r="Q2849" s="16">
        <v>5699</v>
      </c>
      <c r="R2849" s="17">
        <v>40</v>
      </c>
      <c r="S2849" s="18">
        <v>3932.31</v>
      </c>
      <c r="T2849" s="19" t="s">
        <v>36</v>
      </c>
      <c r="U2849" s="20" t="s">
        <v>41</v>
      </c>
      <c r="V2849" s="21" t="s">
        <v>42</v>
      </c>
      <c r="W2849" s="22">
        <v>11</v>
      </c>
      <c r="X2849" s="23"/>
    </row>
    <row r="2850" spans="1:24" s="1" customFormat="1" ht="60.95" customHeight="1" x14ac:dyDescent="0.3">
      <c r="A2850" s="24" t="s">
        <v>23</v>
      </c>
      <c r="B2850" s="24" t="s">
        <v>3168</v>
      </c>
      <c r="C2850" s="12" t="s">
        <v>3171</v>
      </c>
      <c r="D2850" s="60"/>
      <c r="E2850" s="39" t="str">
        <f>HYPERLINK("https://www.google.ru/search?q=6000939-410&amp;newwindow=1&amp;tbm=isch","Еще фото")</f>
        <v>Еще фото</v>
      </c>
      <c r="F2850" s="13"/>
      <c r="G2850" s="24" t="s">
        <v>2788</v>
      </c>
      <c r="H2850" s="24" t="s">
        <v>27</v>
      </c>
      <c r="I2850" s="24" t="s">
        <v>2784</v>
      </c>
      <c r="J2850" s="14" t="s">
        <v>29</v>
      </c>
      <c r="K2850" s="15" t="s">
        <v>30</v>
      </c>
      <c r="L2850" s="58"/>
      <c r="M2850" s="14"/>
      <c r="N2850" s="14" t="s">
        <v>91</v>
      </c>
      <c r="O2850" s="14"/>
      <c r="P2850" s="15" t="s">
        <v>393</v>
      </c>
      <c r="Q2850" s="16">
        <v>5699</v>
      </c>
      <c r="R2850" s="17">
        <v>40</v>
      </c>
      <c r="S2850" s="18">
        <v>3932.31</v>
      </c>
      <c r="T2850" s="19" t="s">
        <v>36</v>
      </c>
      <c r="U2850" s="20" t="s">
        <v>43</v>
      </c>
      <c r="V2850" s="21" t="s">
        <v>44</v>
      </c>
      <c r="W2850" s="22">
        <v>1</v>
      </c>
      <c r="X2850" s="23"/>
    </row>
    <row r="2851" spans="1:24" s="1" customFormat="1" ht="26.1" customHeight="1" x14ac:dyDescent="0.3">
      <c r="A2851" s="11" t="s">
        <v>23</v>
      </c>
      <c r="B2851" s="11" t="s">
        <v>3172</v>
      </c>
      <c r="C2851" s="12" t="s">
        <v>3173</v>
      </c>
      <c r="D2851" s="53"/>
      <c r="E2851" s="39" t="str">
        <f>HYPERLINK("https://www.google.ru/search?q=6003915-001&amp;newwindow=1&amp;tbm=isch","Еще фото")</f>
        <v>Еще фото</v>
      </c>
      <c r="F2851" s="13" t="s">
        <v>98</v>
      </c>
      <c r="G2851" s="11" t="s">
        <v>2788</v>
      </c>
      <c r="H2851" s="11" t="s">
        <v>27</v>
      </c>
      <c r="I2851" s="14" t="s">
        <v>2784</v>
      </c>
      <c r="J2851" s="14" t="s">
        <v>29</v>
      </c>
      <c r="K2851" s="15" t="s">
        <v>64</v>
      </c>
      <c r="L2851" s="56" t="s">
        <v>3174</v>
      </c>
      <c r="M2851" s="14"/>
      <c r="N2851" s="14" t="s">
        <v>33</v>
      </c>
      <c r="O2851" s="14"/>
      <c r="P2851" s="15" t="s">
        <v>51</v>
      </c>
      <c r="Q2851" s="16">
        <v>3399</v>
      </c>
      <c r="R2851" s="17">
        <v>40</v>
      </c>
      <c r="S2851" s="18">
        <v>2345.31</v>
      </c>
      <c r="T2851" s="19" t="s">
        <v>36</v>
      </c>
      <c r="U2851" s="20" t="s">
        <v>69</v>
      </c>
      <c r="V2851" s="21" t="s">
        <v>70</v>
      </c>
      <c r="W2851" s="22">
        <v>4</v>
      </c>
      <c r="X2851" s="23"/>
    </row>
    <row r="2852" spans="1:24" s="1" customFormat="1" ht="26.1" customHeight="1" x14ac:dyDescent="0.3">
      <c r="A2852" s="24" t="s">
        <v>23</v>
      </c>
      <c r="B2852" s="24" t="s">
        <v>3172</v>
      </c>
      <c r="C2852" s="12" t="s">
        <v>3173</v>
      </c>
      <c r="D2852" s="54"/>
      <c r="E2852" s="39" t="str">
        <f>HYPERLINK("https://www.google.ru/search?q=6003915-001&amp;newwindow=1&amp;tbm=isch","Еще фото")</f>
        <v>Еще фото</v>
      </c>
      <c r="F2852" s="13" t="s">
        <v>98</v>
      </c>
      <c r="G2852" s="24" t="s">
        <v>2788</v>
      </c>
      <c r="H2852" s="24" t="s">
        <v>27</v>
      </c>
      <c r="I2852" s="24" t="s">
        <v>2784</v>
      </c>
      <c r="J2852" s="14" t="s">
        <v>29</v>
      </c>
      <c r="K2852" s="15" t="s">
        <v>64</v>
      </c>
      <c r="L2852" s="57"/>
      <c r="M2852" s="14"/>
      <c r="N2852" s="14" t="s">
        <v>33</v>
      </c>
      <c r="O2852" s="14"/>
      <c r="P2852" s="15" t="s">
        <v>51</v>
      </c>
      <c r="Q2852" s="16">
        <v>3399</v>
      </c>
      <c r="R2852" s="17">
        <v>40</v>
      </c>
      <c r="S2852" s="18">
        <v>2345.31</v>
      </c>
      <c r="T2852" s="19" t="s">
        <v>36</v>
      </c>
      <c r="U2852" s="20" t="s">
        <v>37</v>
      </c>
      <c r="V2852" s="21" t="s">
        <v>86</v>
      </c>
      <c r="W2852" s="22">
        <v>7</v>
      </c>
      <c r="X2852" s="23"/>
    </row>
    <row r="2853" spans="1:24" s="1" customFormat="1" ht="26.1" customHeight="1" x14ac:dyDescent="0.3">
      <c r="A2853" s="24" t="s">
        <v>23</v>
      </c>
      <c r="B2853" s="24" t="s">
        <v>3172</v>
      </c>
      <c r="C2853" s="12" t="s">
        <v>3173</v>
      </c>
      <c r="D2853" s="54"/>
      <c r="E2853" s="39" t="str">
        <f>HYPERLINK("https://www.google.ru/search?q=6003915-001&amp;newwindow=1&amp;tbm=isch","Еще фото")</f>
        <v>Еще фото</v>
      </c>
      <c r="F2853" s="13" t="s">
        <v>98</v>
      </c>
      <c r="G2853" s="24" t="s">
        <v>2788</v>
      </c>
      <c r="H2853" s="24" t="s">
        <v>27</v>
      </c>
      <c r="I2853" s="24" t="s">
        <v>2784</v>
      </c>
      <c r="J2853" s="14" t="s">
        <v>29</v>
      </c>
      <c r="K2853" s="15" t="s">
        <v>64</v>
      </c>
      <c r="L2853" s="57"/>
      <c r="M2853" s="14"/>
      <c r="N2853" s="14" t="s">
        <v>33</v>
      </c>
      <c r="O2853" s="14"/>
      <c r="P2853" s="15" t="s">
        <v>51</v>
      </c>
      <c r="Q2853" s="16">
        <v>3399</v>
      </c>
      <c r="R2853" s="17">
        <v>40</v>
      </c>
      <c r="S2853" s="18">
        <v>2345.31</v>
      </c>
      <c r="T2853" s="19" t="s">
        <v>36</v>
      </c>
      <c r="U2853" s="20" t="s">
        <v>39</v>
      </c>
      <c r="V2853" s="21" t="s">
        <v>38</v>
      </c>
      <c r="W2853" s="22">
        <v>8</v>
      </c>
      <c r="X2853" s="23"/>
    </row>
    <row r="2854" spans="1:24" s="1" customFormat="1" ht="26.1" customHeight="1" x14ac:dyDescent="0.3">
      <c r="A2854" s="24" t="s">
        <v>23</v>
      </c>
      <c r="B2854" s="24" t="s">
        <v>3172</v>
      </c>
      <c r="C2854" s="12" t="s">
        <v>3173</v>
      </c>
      <c r="D2854" s="55"/>
      <c r="E2854" s="39" t="str">
        <f>HYPERLINK("https://www.google.ru/search?q=6003915-001&amp;newwindow=1&amp;tbm=isch","Еще фото")</f>
        <v>Еще фото</v>
      </c>
      <c r="F2854" s="13" t="s">
        <v>98</v>
      </c>
      <c r="G2854" s="24" t="s">
        <v>2788</v>
      </c>
      <c r="H2854" s="24" t="s">
        <v>27</v>
      </c>
      <c r="I2854" s="24" t="s">
        <v>2784</v>
      </c>
      <c r="J2854" s="14" t="s">
        <v>29</v>
      </c>
      <c r="K2854" s="15" t="s">
        <v>64</v>
      </c>
      <c r="L2854" s="58"/>
      <c r="M2854" s="14"/>
      <c r="N2854" s="14" t="s">
        <v>33</v>
      </c>
      <c r="O2854" s="14"/>
      <c r="P2854" s="15" t="s">
        <v>51</v>
      </c>
      <c r="Q2854" s="16">
        <v>3399</v>
      </c>
      <c r="R2854" s="17">
        <v>40</v>
      </c>
      <c r="S2854" s="18">
        <v>2345.31</v>
      </c>
      <c r="T2854" s="19" t="s">
        <v>36</v>
      </c>
      <c r="U2854" s="20" t="s">
        <v>41</v>
      </c>
      <c r="V2854" s="21" t="s">
        <v>40</v>
      </c>
      <c r="W2854" s="22">
        <v>6</v>
      </c>
      <c r="X2854" s="23"/>
    </row>
    <row r="2855" spans="1:24" s="1" customFormat="1" ht="51.95" customHeight="1" x14ac:dyDescent="0.3">
      <c r="A2855" s="11" t="s">
        <v>23</v>
      </c>
      <c r="B2855" s="11" t="s">
        <v>3175</v>
      </c>
      <c r="C2855" s="12" t="s">
        <v>3176</v>
      </c>
      <c r="D2855" s="59"/>
      <c r="E2855" s="39" t="str">
        <f>HYPERLINK("https://www.google.ru/search?q=6003985-673&amp;newwindow=1&amp;tbm=isch","Еще фото")</f>
        <v>Еще фото</v>
      </c>
      <c r="F2855" s="13"/>
      <c r="G2855" s="11" t="s">
        <v>2862</v>
      </c>
      <c r="H2855" s="11" t="s">
        <v>27</v>
      </c>
      <c r="I2855" s="14" t="s">
        <v>2784</v>
      </c>
      <c r="J2855" s="14" t="s">
        <v>29</v>
      </c>
      <c r="K2855" s="15" t="s">
        <v>64</v>
      </c>
      <c r="L2855" s="56" t="s">
        <v>3177</v>
      </c>
      <c r="M2855" s="14"/>
      <c r="N2855" s="14" t="s">
        <v>57</v>
      </c>
      <c r="O2855" s="14"/>
      <c r="P2855" s="15" t="s">
        <v>100</v>
      </c>
      <c r="Q2855" s="16">
        <v>4299</v>
      </c>
      <c r="R2855" s="17">
        <v>40</v>
      </c>
      <c r="S2855" s="18">
        <v>2966.31</v>
      </c>
      <c r="T2855" s="19" t="s">
        <v>36</v>
      </c>
      <c r="U2855" s="20" t="s">
        <v>41</v>
      </c>
      <c r="V2855" s="21" t="s">
        <v>40</v>
      </c>
      <c r="W2855" s="22">
        <v>2</v>
      </c>
      <c r="X2855" s="23"/>
    </row>
    <row r="2856" spans="1:24" s="1" customFormat="1" ht="60.95" customHeight="1" x14ac:dyDescent="0.3">
      <c r="A2856" s="24" t="s">
        <v>23</v>
      </c>
      <c r="B2856" s="24" t="s">
        <v>3175</v>
      </c>
      <c r="C2856" s="12" t="s">
        <v>3176</v>
      </c>
      <c r="D2856" s="60"/>
      <c r="E2856" s="39" t="str">
        <f>HYPERLINK("https://www.google.ru/search?q=6003985-673&amp;newwindow=1&amp;tbm=isch","Еще фото")</f>
        <v>Еще фото</v>
      </c>
      <c r="F2856" s="13"/>
      <c r="G2856" s="24" t="s">
        <v>2862</v>
      </c>
      <c r="H2856" s="24" t="s">
        <v>27</v>
      </c>
      <c r="I2856" s="24" t="s">
        <v>2784</v>
      </c>
      <c r="J2856" s="14" t="s">
        <v>29</v>
      </c>
      <c r="K2856" s="15" t="s">
        <v>64</v>
      </c>
      <c r="L2856" s="58"/>
      <c r="M2856" s="14"/>
      <c r="N2856" s="14" t="s">
        <v>57</v>
      </c>
      <c r="O2856" s="14"/>
      <c r="P2856" s="15" t="s">
        <v>100</v>
      </c>
      <c r="Q2856" s="16">
        <v>4299</v>
      </c>
      <c r="R2856" s="17">
        <v>40</v>
      </c>
      <c r="S2856" s="18">
        <v>2966.31</v>
      </c>
      <c r="T2856" s="19" t="s">
        <v>36</v>
      </c>
      <c r="U2856" s="20" t="s">
        <v>43</v>
      </c>
      <c r="V2856" s="21" t="s">
        <v>42</v>
      </c>
      <c r="W2856" s="22">
        <v>1</v>
      </c>
      <c r="X2856" s="23"/>
    </row>
    <row r="2857" spans="1:24" s="1" customFormat="1" ht="51.95" customHeight="1" x14ac:dyDescent="0.3">
      <c r="A2857" s="11" t="s">
        <v>23</v>
      </c>
      <c r="B2857" s="11" t="s">
        <v>3178</v>
      </c>
      <c r="C2857" s="12" t="s">
        <v>3179</v>
      </c>
      <c r="D2857" s="59"/>
      <c r="E2857" s="39" t="str">
        <f>HYPERLINK("https://www.google.ru/search?q=6004965-870&amp;newwindow=1&amp;tbm=isch","Еще фото")</f>
        <v>Еще фото</v>
      </c>
      <c r="F2857" s="13"/>
      <c r="G2857" s="11" t="s">
        <v>2788</v>
      </c>
      <c r="H2857" s="11" t="s">
        <v>27</v>
      </c>
      <c r="I2857" s="14" t="s">
        <v>2784</v>
      </c>
      <c r="J2857" s="14" t="s">
        <v>29</v>
      </c>
      <c r="K2857" s="15" t="s">
        <v>30</v>
      </c>
      <c r="L2857" s="56"/>
      <c r="M2857" s="14"/>
      <c r="N2857" s="14" t="s">
        <v>434</v>
      </c>
      <c r="O2857" s="14"/>
      <c r="P2857" s="15" t="s">
        <v>2401</v>
      </c>
      <c r="Q2857" s="16">
        <v>3799</v>
      </c>
      <c r="R2857" s="17">
        <v>40</v>
      </c>
      <c r="S2857" s="18">
        <v>2621.31</v>
      </c>
      <c r="T2857" s="19" t="s">
        <v>36</v>
      </c>
      <c r="U2857" s="20" t="s">
        <v>43</v>
      </c>
      <c r="V2857" s="21" t="s">
        <v>44</v>
      </c>
      <c r="W2857" s="22">
        <v>2</v>
      </c>
      <c r="X2857" s="23"/>
    </row>
    <row r="2858" spans="1:24" s="1" customFormat="1" ht="60.95" customHeight="1" x14ac:dyDescent="0.3">
      <c r="A2858" s="24" t="s">
        <v>23</v>
      </c>
      <c r="B2858" s="24" t="s">
        <v>3178</v>
      </c>
      <c r="C2858" s="12" t="s">
        <v>3179</v>
      </c>
      <c r="D2858" s="60"/>
      <c r="E2858" s="39" t="str">
        <f>HYPERLINK("https://www.google.ru/search?q=6004965-870&amp;newwindow=1&amp;tbm=isch","Еще фото")</f>
        <v>Еще фото</v>
      </c>
      <c r="F2858" s="13"/>
      <c r="G2858" s="24" t="s">
        <v>2788</v>
      </c>
      <c r="H2858" s="24" t="s">
        <v>27</v>
      </c>
      <c r="I2858" s="24" t="s">
        <v>2784</v>
      </c>
      <c r="J2858" s="14" t="s">
        <v>29</v>
      </c>
      <c r="K2858" s="15" t="s">
        <v>30</v>
      </c>
      <c r="L2858" s="58"/>
      <c r="M2858" s="14"/>
      <c r="N2858" s="14" t="s">
        <v>434</v>
      </c>
      <c r="O2858" s="14"/>
      <c r="P2858" s="15" t="s">
        <v>2401</v>
      </c>
      <c r="Q2858" s="16">
        <v>3799</v>
      </c>
      <c r="R2858" s="17">
        <v>40</v>
      </c>
      <c r="S2858" s="18">
        <v>2621.31</v>
      </c>
      <c r="T2858" s="19" t="s">
        <v>36</v>
      </c>
      <c r="U2858" s="20" t="s">
        <v>104</v>
      </c>
      <c r="V2858" s="21" t="s">
        <v>105</v>
      </c>
      <c r="W2858" s="22">
        <v>2</v>
      </c>
      <c r="X2858" s="23"/>
    </row>
    <row r="2859" spans="1:24" s="1" customFormat="1" ht="51.95" customHeight="1" x14ac:dyDescent="0.3">
      <c r="A2859" s="11" t="s">
        <v>23</v>
      </c>
      <c r="B2859" s="11" t="s">
        <v>3180</v>
      </c>
      <c r="C2859" s="12" t="s">
        <v>3181</v>
      </c>
      <c r="D2859" s="59"/>
      <c r="E2859" s="39" t="str">
        <f>HYPERLINK("https://www.google.ru/search?q=6005046-651&amp;newwindow=1&amp;tbm=isch","Еще фото")</f>
        <v>Еще фото</v>
      </c>
      <c r="F2859" s="13"/>
      <c r="G2859" s="11" t="s">
        <v>2788</v>
      </c>
      <c r="H2859" s="11" t="s">
        <v>27</v>
      </c>
      <c r="I2859" s="14" t="s">
        <v>2784</v>
      </c>
      <c r="J2859" s="14" t="s">
        <v>47</v>
      </c>
      <c r="K2859" s="15" t="s">
        <v>30</v>
      </c>
      <c r="L2859" s="56" t="s">
        <v>3182</v>
      </c>
      <c r="M2859" s="14"/>
      <c r="N2859" s="14" t="s">
        <v>249</v>
      </c>
      <c r="O2859" s="14"/>
      <c r="P2859" s="15" t="s">
        <v>2601</v>
      </c>
      <c r="Q2859" s="16">
        <v>4899</v>
      </c>
      <c r="R2859" s="17">
        <v>40</v>
      </c>
      <c r="S2859" s="18">
        <v>3380.31</v>
      </c>
      <c r="T2859" s="19" t="s">
        <v>36</v>
      </c>
      <c r="U2859" s="20" t="s">
        <v>37</v>
      </c>
      <c r="V2859" s="21" t="s">
        <v>38</v>
      </c>
      <c r="W2859" s="22">
        <v>2</v>
      </c>
      <c r="X2859" s="23"/>
    </row>
    <row r="2860" spans="1:24" s="1" customFormat="1" ht="60.95" customHeight="1" x14ac:dyDescent="0.3">
      <c r="A2860" s="24" t="s">
        <v>23</v>
      </c>
      <c r="B2860" s="24" t="s">
        <v>3180</v>
      </c>
      <c r="C2860" s="12" t="s">
        <v>3181</v>
      </c>
      <c r="D2860" s="60"/>
      <c r="E2860" s="39" t="str">
        <f>HYPERLINK("https://www.google.ru/search?q=6005046-651&amp;newwindow=1&amp;tbm=isch","Еще фото")</f>
        <v>Еще фото</v>
      </c>
      <c r="F2860" s="13"/>
      <c r="G2860" s="24" t="s">
        <v>2788</v>
      </c>
      <c r="H2860" s="24" t="s">
        <v>27</v>
      </c>
      <c r="I2860" s="24" t="s">
        <v>2784</v>
      </c>
      <c r="J2860" s="14" t="s">
        <v>47</v>
      </c>
      <c r="K2860" s="15" t="s">
        <v>30</v>
      </c>
      <c r="L2860" s="58"/>
      <c r="M2860" s="14"/>
      <c r="N2860" s="14" t="s">
        <v>249</v>
      </c>
      <c r="O2860" s="14"/>
      <c r="P2860" s="15" t="s">
        <v>2601</v>
      </c>
      <c r="Q2860" s="16">
        <v>4899</v>
      </c>
      <c r="R2860" s="17">
        <v>40</v>
      </c>
      <c r="S2860" s="18">
        <v>3380.31</v>
      </c>
      <c r="T2860" s="19" t="s">
        <v>36</v>
      </c>
      <c r="U2860" s="20" t="s">
        <v>39</v>
      </c>
      <c r="V2860" s="21" t="s">
        <v>40</v>
      </c>
      <c r="W2860" s="22">
        <v>2</v>
      </c>
      <c r="X2860" s="23"/>
    </row>
    <row r="2861" spans="1:24" s="1" customFormat="1" ht="26.1" customHeight="1" x14ac:dyDescent="0.3">
      <c r="A2861" s="11" t="s">
        <v>23</v>
      </c>
      <c r="B2861" s="11" t="s">
        <v>3183</v>
      </c>
      <c r="C2861" s="12" t="s">
        <v>3184</v>
      </c>
      <c r="D2861" s="53"/>
      <c r="E2861" s="39" t="str">
        <f>HYPERLINK("https://www.google.ru/search?q=6005655-498&amp;newwindow=1&amp;tbm=isch","Еще фото")</f>
        <v>Еще фото</v>
      </c>
      <c r="F2861" s="13"/>
      <c r="G2861" s="11" t="s">
        <v>2788</v>
      </c>
      <c r="H2861" s="11" t="s">
        <v>27</v>
      </c>
      <c r="I2861" s="14" t="s">
        <v>2784</v>
      </c>
      <c r="J2861" s="14" t="s">
        <v>47</v>
      </c>
      <c r="K2861" s="15" t="s">
        <v>30</v>
      </c>
      <c r="L2861" s="56" t="s">
        <v>3185</v>
      </c>
      <c r="M2861" s="14"/>
      <c r="N2861" s="14" t="s">
        <v>91</v>
      </c>
      <c r="O2861" s="14"/>
      <c r="P2861" s="15" t="s">
        <v>2601</v>
      </c>
      <c r="Q2861" s="16">
        <v>5199</v>
      </c>
      <c r="R2861" s="17">
        <v>40</v>
      </c>
      <c r="S2861" s="18">
        <v>3587.31</v>
      </c>
      <c r="T2861" s="19" t="s">
        <v>36</v>
      </c>
      <c r="U2861" s="20" t="s">
        <v>39</v>
      </c>
      <c r="V2861" s="21" t="s">
        <v>40</v>
      </c>
      <c r="W2861" s="22">
        <v>10</v>
      </c>
      <c r="X2861" s="23"/>
    </row>
    <row r="2862" spans="1:24" s="1" customFormat="1" ht="26.1" customHeight="1" x14ac:dyDescent="0.3">
      <c r="A2862" s="24" t="s">
        <v>23</v>
      </c>
      <c r="B2862" s="24" t="s">
        <v>3183</v>
      </c>
      <c r="C2862" s="12" t="s">
        <v>3184</v>
      </c>
      <c r="D2862" s="54"/>
      <c r="E2862" s="39" t="str">
        <f>HYPERLINK("https://www.google.ru/search?q=6005655-498&amp;newwindow=1&amp;tbm=isch","Еще фото")</f>
        <v>Еще фото</v>
      </c>
      <c r="F2862" s="13"/>
      <c r="G2862" s="24" t="s">
        <v>2788</v>
      </c>
      <c r="H2862" s="24" t="s">
        <v>27</v>
      </c>
      <c r="I2862" s="24" t="s">
        <v>2784</v>
      </c>
      <c r="J2862" s="14" t="s">
        <v>47</v>
      </c>
      <c r="K2862" s="15" t="s">
        <v>30</v>
      </c>
      <c r="L2862" s="57"/>
      <c r="M2862" s="14"/>
      <c r="N2862" s="14" t="s">
        <v>91</v>
      </c>
      <c r="O2862" s="14"/>
      <c r="P2862" s="15" t="s">
        <v>2601</v>
      </c>
      <c r="Q2862" s="16">
        <v>5199</v>
      </c>
      <c r="R2862" s="17">
        <v>40</v>
      </c>
      <c r="S2862" s="18">
        <v>3587.31</v>
      </c>
      <c r="T2862" s="19" t="s">
        <v>36</v>
      </c>
      <c r="U2862" s="20" t="s">
        <v>41</v>
      </c>
      <c r="V2862" s="21" t="s">
        <v>42</v>
      </c>
      <c r="W2862" s="22">
        <v>2</v>
      </c>
      <c r="X2862" s="23"/>
    </row>
    <row r="2863" spans="1:24" s="1" customFormat="1" ht="26.1" customHeight="1" x14ac:dyDescent="0.3">
      <c r="A2863" s="24" t="s">
        <v>23</v>
      </c>
      <c r="B2863" s="24" t="s">
        <v>3183</v>
      </c>
      <c r="C2863" s="12" t="s">
        <v>3184</v>
      </c>
      <c r="D2863" s="54"/>
      <c r="E2863" s="39" t="str">
        <f>HYPERLINK("https://www.google.ru/search?q=6005655-498&amp;newwindow=1&amp;tbm=isch","Еще фото")</f>
        <v>Еще фото</v>
      </c>
      <c r="F2863" s="13"/>
      <c r="G2863" s="24" t="s">
        <v>2788</v>
      </c>
      <c r="H2863" s="24" t="s">
        <v>27</v>
      </c>
      <c r="I2863" s="24" t="s">
        <v>2784</v>
      </c>
      <c r="J2863" s="14" t="s">
        <v>47</v>
      </c>
      <c r="K2863" s="15" t="s">
        <v>30</v>
      </c>
      <c r="L2863" s="57"/>
      <c r="M2863" s="14"/>
      <c r="N2863" s="14" t="s">
        <v>91</v>
      </c>
      <c r="O2863" s="14"/>
      <c r="P2863" s="15" t="s">
        <v>2601</v>
      </c>
      <c r="Q2863" s="16">
        <v>5199</v>
      </c>
      <c r="R2863" s="17">
        <v>40</v>
      </c>
      <c r="S2863" s="18">
        <v>3587.31</v>
      </c>
      <c r="T2863" s="19" t="s">
        <v>36</v>
      </c>
      <c r="U2863" s="20" t="s">
        <v>43</v>
      </c>
      <c r="V2863" s="21" t="s">
        <v>44</v>
      </c>
      <c r="W2863" s="22">
        <v>4</v>
      </c>
      <c r="X2863" s="23"/>
    </row>
    <row r="2864" spans="1:24" s="1" customFormat="1" ht="26.1" customHeight="1" x14ac:dyDescent="0.3">
      <c r="A2864" s="24" t="s">
        <v>23</v>
      </c>
      <c r="B2864" s="24" t="s">
        <v>3183</v>
      </c>
      <c r="C2864" s="12" t="s">
        <v>3184</v>
      </c>
      <c r="D2864" s="55"/>
      <c r="E2864" s="39" t="str">
        <f>HYPERLINK("https://www.google.ru/search?q=6005655-498&amp;newwindow=1&amp;tbm=isch","Еще фото")</f>
        <v>Еще фото</v>
      </c>
      <c r="F2864" s="13"/>
      <c r="G2864" s="24" t="s">
        <v>2788</v>
      </c>
      <c r="H2864" s="24" t="s">
        <v>27</v>
      </c>
      <c r="I2864" s="24" t="s">
        <v>2784</v>
      </c>
      <c r="J2864" s="14" t="s">
        <v>47</v>
      </c>
      <c r="K2864" s="15" t="s">
        <v>30</v>
      </c>
      <c r="L2864" s="58"/>
      <c r="M2864" s="14"/>
      <c r="N2864" s="14" t="s">
        <v>91</v>
      </c>
      <c r="O2864" s="14"/>
      <c r="P2864" s="15" t="s">
        <v>2601</v>
      </c>
      <c r="Q2864" s="16">
        <v>5199</v>
      </c>
      <c r="R2864" s="17">
        <v>40</v>
      </c>
      <c r="S2864" s="18">
        <v>3587.31</v>
      </c>
      <c r="T2864" s="19" t="s">
        <v>36</v>
      </c>
      <c r="U2864" s="20" t="s">
        <v>104</v>
      </c>
      <c r="V2864" s="21" t="s">
        <v>105</v>
      </c>
      <c r="W2864" s="22">
        <v>1</v>
      </c>
      <c r="X2864" s="23"/>
    </row>
    <row r="2865" spans="1:24" s="1" customFormat="1" ht="51.95" customHeight="1" x14ac:dyDescent="0.3">
      <c r="A2865" s="11" t="s">
        <v>23</v>
      </c>
      <c r="B2865" s="11" t="s">
        <v>3186</v>
      </c>
      <c r="C2865" s="12" t="s">
        <v>3187</v>
      </c>
      <c r="D2865" s="59"/>
      <c r="E2865" s="39" t="str">
        <f>HYPERLINK("https://www.google.ru/search?q=6007179-044&amp;newwindow=1&amp;tbm=isch","Еще фото")</f>
        <v>Еще фото</v>
      </c>
      <c r="F2865" s="13"/>
      <c r="G2865" s="11" t="s">
        <v>2862</v>
      </c>
      <c r="H2865" s="11" t="s">
        <v>27</v>
      </c>
      <c r="I2865" s="14" t="s">
        <v>2784</v>
      </c>
      <c r="J2865" s="14" t="s">
        <v>29</v>
      </c>
      <c r="K2865" s="15" t="s">
        <v>30</v>
      </c>
      <c r="L2865" s="56" t="s">
        <v>3188</v>
      </c>
      <c r="M2865" s="14"/>
      <c r="N2865" s="14" t="s">
        <v>84</v>
      </c>
      <c r="O2865" s="14"/>
      <c r="P2865" s="15" t="s">
        <v>2913</v>
      </c>
      <c r="Q2865" s="16">
        <v>6399</v>
      </c>
      <c r="R2865" s="17">
        <v>40</v>
      </c>
      <c r="S2865" s="18">
        <v>4415.3099999999995</v>
      </c>
      <c r="T2865" s="19" t="s">
        <v>36</v>
      </c>
      <c r="U2865" s="20" t="s">
        <v>37</v>
      </c>
      <c r="V2865" s="21" t="s">
        <v>38</v>
      </c>
      <c r="W2865" s="22">
        <v>1</v>
      </c>
      <c r="X2865" s="23"/>
    </row>
    <row r="2866" spans="1:24" s="1" customFormat="1" ht="60.95" customHeight="1" x14ac:dyDescent="0.3">
      <c r="A2866" s="24" t="s">
        <v>23</v>
      </c>
      <c r="B2866" s="24" t="s">
        <v>3186</v>
      </c>
      <c r="C2866" s="12" t="s">
        <v>3187</v>
      </c>
      <c r="D2866" s="60"/>
      <c r="E2866" s="39" t="str">
        <f>HYPERLINK("https://www.google.ru/search?q=6007179-044&amp;newwindow=1&amp;tbm=isch","Еще фото")</f>
        <v>Еще фото</v>
      </c>
      <c r="F2866" s="13"/>
      <c r="G2866" s="24" t="s">
        <v>2862</v>
      </c>
      <c r="H2866" s="24" t="s">
        <v>27</v>
      </c>
      <c r="I2866" s="24" t="s">
        <v>2784</v>
      </c>
      <c r="J2866" s="14" t="s">
        <v>29</v>
      </c>
      <c r="K2866" s="15" t="s">
        <v>30</v>
      </c>
      <c r="L2866" s="58"/>
      <c r="M2866" s="14"/>
      <c r="N2866" s="14" t="s">
        <v>84</v>
      </c>
      <c r="O2866" s="14"/>
      <c r="P2866" s="15" t="s">
        <v>2913</v>
      </c>
      <c r="Q2866" s="16">
        <v>6399</v>
      </c>
      <c r="R2866" s="17">
        <v>40</v>
      </c>
      <c r="S2866" s="18">
        <v>4415.3099999999995</v>
      </c>
      <c r="T2866" s="19" t="s">
        <v>36</v>
      </c>
      <c r="U2866" s="20" t="s">
        <v>39</v>
      </c>
      <c r="V2866" s="21" t="s">
        <v>40</v>
      </c>
      <c r="W2866" s="22">
        <v>2</v>
      </c>
      <c r="X2866" s="23"/>
    </row>
    <row r="2867" spans="1:24" s="1" customFormat="1" ht="108" customHeight="1" x14ac:dyDescent="0.3">
      <c r="A2867" s="11" t="s">
        <v>23</v>
      </c>
      <c r="B2867" s="11" t="s">
        <v>3189</v>
      </c>
      <c r="C2867" s="12" t="s">
        <v>3190</v>
      </c>
      <c r="D2867" s="25"/>
      <c r="E2867" s="39" t="str">
        <f>HYPERLINK("https://www.google.ru/search?q=6007507-651&amp;newwindow=1&amp;tbm=isch","Еще фото")</f>
        <v>Еще фото</v>
      </c>
      <c r="F2867" s="13" t="s">
        <v>310</v>
      </c>
      <c r="G2867" s="11" t="s">
        <v>2788</v>
      </c>
      <c r="H2867" s="11" t="s">
        <v>27</v>
      </c>
      <c r="I2867" s="14" t="s">
        <v>2784</v>
      </c>
      <c r="J2867" s="14" t="s">
        <v>29</v>
      </c>
      <c r="K2867" s="15" t="s">
        <v>64</v>
      </c>
      <c r="L2867" s="14" t="s">
        <v>3191</v>
      </c>
      <c r="M2867" s="14"/>
      <c r="N2867" s="14" t="s">
        <v>249</v>
      </c>
      <c r="O2867" s="14"/>
      <c r="P2867" s="15" t="s">
        <v>2601</v>
      </c>
      <c r="Q2867" s="16">
        <v>8799</v>
      </c>
      <c r="R2867" s="17">
        <v>40</v>
      </c>
      <c r="S2867" s="18">
        <v>6071.3099999999995</v>
      </c>
      <c r="T2867" s="19" t="s">
        <v>36</v>
      </c>
      <c r="U2867" s="20" t="s">
        <v>41</v>
      </c>
      <c r="V2867" s="21" t="s">
        <v>40</v>
      </c>
      <c r="W2867" s="22">
        <v>1</v>
      </c>
      <c r="X2867" s="23"/>
    </row>
    <row r="2868" spans="1:24" s="1" customFormat="1" ht="51.95" customHeight="1" x14ac:dyDescent="0.3">
      <c r="A2868" s="11" t="s">
        <v>23</v>
      </c>
      <c r="B2868" s="11" t="s">
        <v>3192</v>
      </c>
      <c r="C2868" s="12" t="s">
        <v>3193</v>
      </c>
      <c r="D2868" s="59"/>
      <c r="E2868" s="39" t="str">
        <f>HYPERLINK("https://www.google.ru/search?q=6007622-001&amp;newwindow=1&amp;tbm=isch","Еще фото")</f>
        <v>Еще фото</v>
      </c>
      <c r="F2868" s="13"/>
      <c r="G2868" s="11" t="s">
        <v>3194</v>
      </c>
      <c r="H2868" s="11" t="s">
        <v>27</v>
      </c>
      <c r="I2868" s="14" t="s">
        <v>2784</v>
      </c>
      <c r="J2868" s="14" t="s">
        <v>47</v>
      </c>
      <c r="K2868" s="15" t="s">
        <v>30</v>
      </c>
      <c r="L2868" s="56" t="s">
        <v>3195</v>
      </c>
      <c r="M2868" s="14"/>
      <c r="N2868" s="14" t="s">
        <v>33</v>
      </c>
      <c r="O2868" s="14"/>
      <c r="P2868" s="15" t="s">
        <v>3196</v>
      </c>
      <c r="Q2868" s="16">
        <v>4199</v>
      </c>
      <c r="R2868" s="17">
        <v>40</v>
      </c>
      <c r="S2868" s="18">
        <v>2897.31</v>
      </c>
      <c r="T2868" s="19" t="s">
        <v>36</v>
      </c>
      <c r="U2868" s="20" t="s">
        <v>41</v>
      </c>
      <c r="V2868" s="21" t="s">
        <v>42</v>
      </c>
      <c r="W2868" s="22">
        <v>19</v>
      </c>
      <c r="X2868" s="23"/>
    </row>
    <row r="2869" spans="1:24" s="1" customFormat="1" ht="60.95" customHeight="1" x14ac:dyDescent="0.3">
      <c r="A2869" s="24" t="s">
        <v>23</v>
      </c>
      <c r="B2869" s="24" t="s">
        <v>3192</v>
      </c>
      <c r="C2869" s="12" t="s">
        <v>3193</v>
      </c>
      <c r="D2869" s="60"/>
      <c r="E2869" s="39" t="str">
        <f>HYPERLINK("https://www.google.ru/search?q=6007622-001&amp;newwindow=1&amp;tbm=isch","Еще фото")</f>
        <v>Еще фото</v>
      </c>
      <c r="F2869" s="13"/>
      <c r="G2869" s="24" t="s">
        <v>3194</v>
      </c>
      <c r="H2869" s="24" t="s">
        <v>27</v>
      </c>
      <c r="I2869" s="24" t="s">
        <v>2784</v>
      </c>
      <c r="J2869" s="14" t="s">
        <v>47</v>
      </c>
      <c r="K2869" s="15" t="s">
        <v>30</v>
      </c>
      <c r="L2869" s="58"/>
      <c r="M2869" s="14"/>
      <c r="N2869" s="14" t="s">
        <v>33</v>
      </c>
      <c r="O2869" s="14"/>
      <c r="P2869" s="15" t="s">
        <v>3196</v>
      </c>
      <c r="Q2869" s="16">
        <v>4199</v>
      </c>
      <c r="R2869" s="17">
        <v>40</v>
      </c>
      <c r="S2869" s="18">
        <v>2897.31</v>
      </c>
      <c r="T2869" s="19" t="s">
        <v>36</v>
      </c>
      <c r="U2869" s="20" t="s">
        <v>43</v>
      </c>
      <c r="V2869" s="21" t="s">
        <v>44</v>
      </c>
      <c r="W2869" s="22">
        <v>1</v>
      </c>
      <c r="X2869" s="23"/>
    </row>
    <row r="2870" spans="1:24" s="1" customFormat="1" ht="35.1" customHeight="1" x14ac:dyDescent="0.3">
      <c r="A2870" s="11" t="s">
        <v>23</v>
      </c>
      <c r="B2870" s="11" t="s">
        <v>3192</v>
      </c>
      <c r="C2870" s="12" t="s">
        <v>3197</v>
      </c>
      <c r="D2870" s="53"/>
      <c r="E2870" s="39" t="str">
        <f>HYPERLINK("https://www.google.ru/search?q=6007622-100&amp;newwindow=1&amp;tbm=isch","Еще фото")</f>
        <v>Еще фото</v>
      </c>
      <c r="F2870" s="13"/>
      <c r="G2870" s="11" t="s">
        <v>3194</v>
      </c>
      <c r="H2870" s="11" t="s">
        <v>27</v>
      </c>
      <c r="I2870" s="14" t="s">
        <v>2784</v>
      </c>
      <c r="J2870" s="14" t="s">
        <v>47</v>
      </c>
      <c r="K2870" s="15" t="s">
        <v>30</v>
      </c>
      <c r="L2870" s="56" t="s">
        <v>3195</v>
      </c>
      <c r="M2870" s="14"/>
      <c r="N2870" s="14" t="s">
        <v>74</v>
      </c>
      <c r="O2870" s="14"/>
      <c r="P2870" s="15" t="s">
        <v>3196</v>
      </c>
      <c r="Q2870" s="16">
        <v>4199</v>
      </c>
      <c r="R2870" s="17">
        <v>40</v>
      </c>
      <c r="S2870" s="18">
        <v>2897.31</v>
      </c>
      <c r="T2870" s="19" t="s">
        <v>36</v>
      </c>
      <c r="U2870" s="20" t="s">
        <v>37</v>
      </c>
      <c r="V2870" s="21" t="s">
        <v>38</v>
      </c>
      <c r="W2870" s="22">
        <v>5</v>
      </c>
      <c r="X2870" s="23"/>
    </row>
    <row r="2871" spans="1:24" s="1" customFormat="1" ht="35.1" customHeight="1" x14ac:dyDescent="0.3">
      <c r="A2871" s="24" t="s">
        <v>23</v>
      </c>
      <c r="B2871" s="24" t="s">
        <v>3192</v>
      </c>
      <c r="C2871" s="12" t="s">
        <v>3197</v>
      </c>
      <c r="D2871" s="54"/>
      <c r="E2871" s="39" t="str">
        <f>HYPERLINK("https://www.google.ru/search?q=6007622-100&amp;newwindow=1&amp;tbm=isch","Еще фото")</f>
        <v>Еще фото</v>
      </c>
      <c r="F2871" s="13"/>
      <c r="G2871" s="24" t="s">
        <v>3194</v>
      </c>
      <c r="H2871" s="24" t="s">
        <v>27</v>
      </c>
      <c r="I2871" s="24" t="s">
        <v>2784</v>
      </c>
      <c r="J2871" s="14" t="s">
        <v>47</v>
      </c>
      <c r="K2871" s="15" t="s">
        <v>30</v>
      </c>
      <c r="L2871" s="57"/>
      <c r="M2871" s="14"/>
      <c r="N2871" s="14" t="s">
        <v>74</v>
      </c>
      <c r="O2871" s="14"/>
      <c r="P2871" s="15" t="s">
        <v>3196</v>
      </c>
      <c r="Q2871" s="16">
        <v>4199</v>
      </c>
      <c r="R2871" s="17">
        <v>40</v>
      </c>
      <c r="S2871" s="18">
        <v>2897.31</v>
      </c>
      <c r="T2871" s="19" t="s">
        <v>36</v>
      </c>
      <c r="U2871" s="20" t="s">
        <v>39</v>
      </c>
      <c r="V2871" s="21" t="s">
        <v>40</v>
      </c>
      <c r="W2871" s="22">
        <v>12</v>
      </c>
      <c r="X2871" s="23"/>
    </row>
    <row r="2872" spans="1:24" s="1" customFormat="1" ht="36.950000000000003" customHeight="1" x14ac:dyDescent="0.3">
      <c r="A2872" s="24" t="s">
        <v>23</v>
      </c>
      <c r="B2872" s="24" t="s">
        <v>3192</v>
      </c>
      <c r="C2872" s="12" t="s">
        <v>3197</v>
      </c>
      <c r="D2872" s="55"/>
      <c r="E2872" s="39" t="str">
        <f>HYPERLINK("https://www.google.ru/search?q=6007622-100&amp;newwindow=1&amp;tbm=isch","Еще фото")</f>
        <v>Еще фото</v>
      </c>
      <c r="F2872" s="13"/>
      <c r="G2872" s="24" t="s">
        <v>3194</v>
      </c>
      <c r="H2872" s="24" t="s">
        <v>27</v>
      </c>
      <c r="I2872" s="24" t="s">
        <v>2784</v>
      </c>
      <c r="J2872" s="14" t="s">
        <v>47</v>
      </c>
      <c r="K2872" s="15" t="s">
        <v>30</v>
      </c>
      <c r="L2872" s="58"/>
      <c r="M2872" s="14"/>
      <c r="N2872" s="14" t="s">
        <v>74</v>
      </c>
      <c r="O2872" s="14"/>
      <c r="P2872" s="15" t="s">
        <v>3196</v>
      </c>
      <c r="Q2872" s="16">
        <v>4199</v>
      </c>
      <c r="R2872" s="17">
        <v>40</v>
      </c>
      <c r="S2872" s="18">
        <v>2897.31</v>
      </c>
      <c r="T2872" s="19" t="s">
        <v>36</v>
      </c>
      <c r="U2872" s="20" t="s">
        <v>41</v>
      </c>
      <c r="V2872" s="21" t="s">
        <v>42</v>
      </c>
      <c r="W2872" s="22">
        <v>30</v>
      </c>
      <c r="X2872" s="23"/>
    </row>
    <row r="2873" spans="1:24" s="1" customFormat="1" ht="108" customHeight="1" x14ac:dyDescent="0.3">
      <c r="A2873" s="11" t="s">
        <v>23</v>
      </c>
      <c r="B2873" s="11" t="s">
        <v>3198</v>
      </c>
      <c r="C2873" s="12" t="s">
        <v>3199</v>
      </c>
      <c r="D2873" s="25"/>
      <c r="E2873" s="39" t="str">
        <f>HYPERLINK("https://www.google.ru/search?q=6007656-338&amp;newwindow=1&amp;tbm=isch","Еще фото")</f>
        <v>Еще фото</v>
      </c>
      <c r="F2873" s="13"/>
      <c r="G2873" s="11" t="s">
        <v>2862</v>
      </c>
      <c r="H2873" s="11" t="s">
        <v>27</v>
      </c>
      <c r="I2873" s="14" t="s">
        <v>2784</v>
      </c>
      <c r="J2873" s="14" t="s">
        <v>29</v>
      </c>
      <c r="K2873" s="15" t="s">
        <v>64</v>
      </c>
      <c r="L2873" s="14" t="s">
        <v>3200</v>
      </c>
      <c r="M2873" s="14"/>
      <c r="N2873" s="14" t="s">
        <v>125</v>
      </c>
      <c r="O2873" s="14"/>
      <c r="P2873" s="15" t="s">
        <v>185</v>
      </c>
      <c r="Q2873" s="16">
        <v>3499</v>
      </c>
      <c r="R2873" s="17">
        <v>40</v>
      </c>
      <c r="S2873" s="18">
        <v>2414.31</v>
      </c>
      <c r="T2873" s="19" t="s">
        <v>36</v>
      </c>
      <c r="U2873" s="20" t="s">
        <v>39</v>
      </c>
      <c r="V2873" s="21" t="s">
        <v>38</v>
      </c>
      <c r="W2873" s="22">
        <v>1</v>
      </c>
      <c r="X2873" s="23"/>
    </row>
    <row r="2874" spans="1:24" s="1" customFormat="1" ht="35.1" customHeight="1" x14ac:dyDescent="0.3">
      <c r="A2874" s="11" t="s">
        <v>23</v>
      </c>
      <c r="B2874" s="11" t="s">
        <v>3198</v>
      </c>
      <c r="C2874" s="12" t="s">
        <v>3201</v>
      </c>
      <c r="D2874" s="53"/>
      <c r="E2874" s="39" t="str">
        <f>HYPERLINK("https://www.google.ru/search?q=6007656-410&amp;newwindow=1&amp;tbm=isch","Еще фото")</f>
        <v>Еще фото</v>
      </c>
      <c r="F2874" s="13" t="s">
        <v>98</v>
      </c>
      <c r="G2874" s="11" t="s">
        <v>2862</v>
      </c>
      <c r="H2874" s="11" t="s">
        <v>27</v>
      </c>
      <c r="I2874" s="14" t="s">
        <v>2784</v>
      </c>
      <c r="J2874" s="14" t="s">
        <v>29</v>
      </c>
      <c r="K2874" s="15" t="s">
        <v>64</v>
      </c>
      <c r="L2874" s="56" t="s">
        <v>3200</v>
      </c>
      <c r="M2874" s="14"/>
      <c r="N2874" s="14" t="s">
        <v>91</v>
      </c>
      <c r="O2874" s="14"/>
      <c r="P2874" s="15" t="s">
        <v>185</v>
      </c>
      <c r="Q2874" s="16">
        <v>3499</v>
      </c>
      <c r="R2874" s="17">
        <v>40</v>
      </c>
      <c r="S2874" s="18">
        <v>2414.31</v>
      </c>
      <c r="T2874" s="19" t="s">
        <v>36</v>
      </c>
      <c r="U2874" s="20" t="s">
        <v>37</v>
      </c>
      <c r="V2874" s="21" t="s">
        <v>86</v>
      </c>
      <c r="W2874" s="22">
        <v>4</v>
      </c>
      <c r="X2874" s="23"/>
    </row>
    <row r="2875" spans="1:24" s="1" customFormat="1" ht="35.1" customHeight="1" x14ac:dyDescent="0.3">
      <c r="A2875" s="24" t="s">
        <v>23</v>
      </c>
      <c r="B2875" s="24" t="s">
        <v>3198</v>
      </c>
      <c r="C2875" s="12" t="s">
        <v>3201</v>
      </c>
      <c r="D2875" s="54"/>
      <c r="E2875" s="39" t="str">
        <f>HYPERLINK("https://www.google.ru/search?q=6007656-410&amp;newwindow=1&amp;tbm=isch","Еще фото")</f>
        <v>Еще фото</v>
      </c>
      <c r="F2875" s="13" t="s">
        <v>98</v>
      </c>
      <c r="G2875" s="24" t="s">
        <v>2862</v>
      </c>
      <c r="H2875" s="24" t="s">
        <v>27</v>
      </c>
      <c r="I2875" s="24" t="s">
        <v>2784</v>
      </c>
      <c r="J2875" s="14" t="s">
        <v>29</v>
      </c>
      <c r="K2875" s="15" t="s">
        <v>64</v>
      </c>
      <c r="L2875" s="57"/>
      <c r="M2875" s="14"/>
      <c r="N2875" s="14" t="s">
        <v>91</v>
      </c>
      <c r="O2875" s="14"/>
      <c r="P2875" s="15" t="s">
        <v>185</v>
      </c>
      <c r="Q2875" s="16">
        <v>3499</v>
      </c>
      <c r="R2875" s="17">
        <v>40</v>
      </c>
      <c r="S2875" s="18">
        <v>2414.31</v>
      </c>
      <c r="T2875" s="19" t="s">
        <v>36</v>
      </c>
      <c r="U2875" s="20" t="s">
        <v>39</v>
      </c>
      <c r="V2875" s="21" t="s">
        <v>38</v>
      </c>
      <c r="W2875" s="22">
        <v>14</v>
      </c>
      <c r="X2875" s="23"/>
    </row>
    <row r="2876" spans="1:24" s="1" customFormat="1" ht="36.950000000000003" customHeight="1" x14ac:dyDescent="0.3">
      <c r="A2876" s="24" t="s">
        <v>23</v>
      </c>
      <c r="B2876" s="24" t="s">
        <v>3198</v>
      </c>
      <c r="C2876" s="12" t="s">
        <v>3201</v>
      </c>
      <c r="D2876" s="55"/>
      <c r="E2876" s="39" t="str">
        <f>HYPERLINK("https://www.google.ru/search?q=6007656-410&amp;newwindow=1&amp;tbm=isch","Еще фото")</f>
        <v>Еще фото</v>
      </c>
      <c r="F2876" s="13" t="s">
        <v>98</v>
      </c>
      <c r="G2876" s="24" t="s">
        <v>2862</v>
      </c>
      <c r="H2876" s="24" t="s">
        <v>27</v>
      </c>
      <c r="I2876" s="24" t="s">
        <v>2784</v>
      </c>
      <c r="J2876" s="14" t="s">
        <v>29</v>
      </c>
      <c r="K2876" s="15" t="s">
        <v>64</v>
      </c>
      <c r="L2876" s="58"/>
      <c r="M2876" s="14"/>
      <c r="N2876" s="14" t="s">
        <v>91</v>
      </c>
      <c r="O2876" s="14"/>
      <c r="P2876" s="15" t="s">
        <v>185</v>
      </c>
      <c r="Q2876" s="16">
        <v>3499</v>
      </c>
      <c r="R2876" s="17">
        <v>40</v>
      </c>
      <c r="S2876" s="18">
        <v>2414.31</v>
      </c>
      <c r="T2876" s="19" t="s">
        <v>36</v>
      </c>
      <c r="U2876" s="20" t="s">
        <v>41</v>
      </c>
      <c r="V2876" s="21" t="s">
        <v>40</v>
      </c>
      <c r="W2876" s="22">
        <v>6</v>
      </c>
      <c r="X2876" s="23"/>
    </row>
    <row r="2877" spans="1:24" s="1" customFormat="1" ht="26.1" customHeight="1" x14ac:dyDescent="0.3">
      <c r="A2877" s="11" t="s">
        <v>23</v>
      </c>
      <c r="B2877" s="11" t="s">
        <v>3202</v>
      </c>
      <c r="C2877" s="12" t="s">
        <v>3203</v>
      </c>
      <c r="D2877" s="53"/>
      <c r="E2877" s="39" t="str">
        <f>HYPERLINK("https://www.google.ru/search?q=6007876-001&amp;newwindow=1&amp;tbm=isch","Еще фото")</f>
        <v>Еще фото</v>
      </c>
      <c r="F2877" s="13" t="s">
        <v>98</v>
      </c>
      <c r="G2877" s="11" t="s">
        <v>3204</v>
      </c>
      <c r="H2877" s="11" t="s">
        <v>27</v>
      </c>
      <c r="I2877" s="14" t="s">
        <v>2784</v>
      </c>
      <c r="J2877" s="14" t="s">
        <v>29</v>
      </c>
      <c r="K2877" s="15" t="s">
        <v>64</v>
      </c>
      <c r="L2877" s="56" t="s">
        <v>3205</v>
      </c>
      <c r="M2877" s="14"/>
      <c r="N2877" s="14" t="s">
        <v>33</v>
      </c>
      <c r="O2877" s="14"/>
      <c r="P2877" s="15" t="s">
        <v>261</v>
      </c>
      <c r="Q2877" s="16">
        <v>4799</v>
      </c>
      <c r="R2877" s="17">
        <v>40</v>
      </c>
      <c r="S2877" s="18">
        <v>3311.31</v>
      </c>
      <c r="T2877" s="19" t="s">
        <v>36</v>
      </c>
      <c r="U2877" s="20" t="s">
        <v>69</v>
      </c>
      <c r="V2877" s="21" t="s">
        <v>70</v>
      </c>
      <c r="W2877" s="22">
        <v>2</v>
      </c>
      <c r="X2877" s="23"/>
    </row>
    <row r="2878" spans="1:24" s="1" customFormat="1" ht="26.1" customHeight="1" x14ac:dyDescent="0.3">
      <c r="A2878" s="24" t="s">
        <v>23</v>
      </c>
      <c r="B2878" s="24" t="s">
        <v>3202</v>
      </c>
      <c r="C2878" s="12" t="s">
        <v>3203</v>
      </c>
      <c r="D2878" s="54"/>
      <c r="E2878" s="39" t="str">
        <f>HYPERLINK("https://www.google.ru/search?q=6007876-001&amp;newwindow=1&amp;tbm=isch","Еще фото")</f>
        <v>Еще фото</v>
      </c>
      <c r="F2878" s="13" t="s">
        <v>98</v>
      </c>
      <c r="G2878" s="24" t="s">
        <v>3204</v>
      </c>
      <c r="H2878" s="24" t="s">
        <v>27</v>
      </c>
      <c r="I2878" s="24" t="s">
        <v>2784</v>
      </c>
      <c r="J2878" s="14" t="s">
        <v>29</v>
      </c>
      <c r="K2878" s="15" t="s">
        <v>64</v>
      </c>
      <c r="L2878" s="57"/>
      <c r="M2878" s="14"/>
      <c r="N2878" s="14" t="s">
        <v>33</v>
      </c>
      <c r="O2878" s="14"/>
      <c r="P2878" s="15" t="s">
        <v>261</v>
      </c>
      <c r="Q2878" s="16">
        <v>4799</v>
      </c>
      <c r="R2878" s="17">
        <v>40</v>
      </c>
      <c r="S2878" s="18">
        <v>3311.31</v>
      </c>
      <c r="T2878" s="19" t="s">
        <v>36</v>
      </c>
      <c r="U2878" s="20" t="s">
        <v>37</v>
      </c>
      <c r="V2878" s="21" t="s">
        <v>86</v>
      </c>
      <c r="W2878" s="22">
        <v>3</v>
      </c>
      <c r="X2878" s="23"/>
    </row>
    <row r="2879" spans="1:24" s="1" customFormat="1" ht="26.1" customHeight="1" x14ac:dyDescent="0.3">
      <c r="A2879" s="24" t="s">
        <v>23</v>
      </c>
      <c r="B2879" s="24" t="s">
        <v>3202</v>
      </c>
      <c r="C2879" s="12" t="s">
        <v>3203</v>
      </c>
      <c r="D2879" s="54"/>
      <c r="E2879" s="39" t="str">
        <f>HYPERLINK("https://www.google.ru/search?q=6007876-001&amp;newwindow=1&amp;tbm=isch","Еще фото")</f>
        <v>Еще фото</v>
      </c>
      <c r="F2879" s="13" t="s">
        <v>98</v>
      </c>
      <c r="G2879" s="24" t="s">
        <v>3204</v>
      </c>
      <c r="H2879" s="24" t="s">
        <v>27</v>
      </c>
      <c r="I2879" s="24" t="s">
        <v>2784</v>
      </c>
      <c r="J2879" s="14" t="s">
        <v>29</v>
      </c>
      <c r="K2879" s="15" t="s">
        <v>64</v>
      </c>
      <c r="L2879" s="57"/>
      <c r="M2879" s="14"/>
      <c r="N2879" s="14" t="s">
        <v>33</v>
      </c>
      <c r="O2879" s="14"/>
      <c r="P2879" s="15" t="s">
        <v>261</v>
      </c>
      <c r="Q2879" s="16">
        <v>4799</v>
      </c>
      <c r="R2879" s="17">
        <v>40</v>
      </c>
      <c r="S2879" s="18">
        <v>3311.31</v>
      </c>
      <c r="T2879" s="19" t="s">
        <v>36</v>
      </c>
      <c r="U2879" s="20" t="s">
        <v>39</v>
      </c>
      <c r="V2879" s="21" t="s">
        <v>38</v>
      </c>
      <c r="W2879" s="22">
        <v>7</v>
      </c>
      <c r="X2879" s="23"/>
    </row>
    <row r="2880" spans="1:24" s="1" customFormat="1" ht="26.1" customHeight="1" x14ac:dyDescent="0.3">
      <c r="A2880" s="24" t="s">
        <v>23</v>
      </c>
      <c r="B2880" s="24" t="s">
        <v>3202</v>
      </c>
      <c r="C2880" s="12" t="s">
        <v>3203</v>
      </c>
      <c r="D2880" s="55"/>
      <c r="E2880" s="39" t="str">
        <f>HYPERLINK("https://www.google.ru/search?q=6007876-001&amp;newwindow=1&amp;tbm=isch","Еще фото")</f>
        <v>Еще фото</v>
      </c>
      <c r="F2880" s="13" t="s">
        <v>98</v>
      </c>
      <c r="G2880" s="24" t="s">
        <v>3204</v>
      </c>
      <c r="H2880" s="24" t="s">
        <v>27</v>
      </c>
      <c r="I2880" s="24" t="s">
        <v>2784</v>
      </c>
      <c r="J2880" s="14" t="s">
        <v>29</v>
      </c>
      <c r="K2880" s="15" t="s">
        <v>64</v>
      </c>
      <c r="L2880" s="58"/>
      <c r="M2880" s="14"/>
      <c r="N2880" s="14" t="s">
        <v>33</v>
      </c>
      <c r="O2880" s="14"/>
      <c r="P2880" s="15" t="s">
        <v>261</v>
      </c>
      <c r="Q2880" s="16">
        <v>4799</v>
      </c>
      <c r="R2880" s="17">
        <v>40</v>
      </c>
      <c r="S2880" s="18">
        <v>3311.31</v>
      </c>
      <c r="T2880" s="19" t="s">
        <v>36</v>
      </c>
      <c r="U2880" s="20" t="s">
        <v>41</v>
      </c>
      <c r="V2880" s="21" t="s">
        <v>40</v>
      </c>
      <c r="W2880" s="22">
        <v>3</v>
      </c>
      <c r="X2880" s="23"/>
    </row>
    <row r="2881" spans="1:24" s="1" customFormat="1" ht="35.1" customHeight="1" x14ac:dyDescent="0.3">
      <c r="A2881" s="11" t="s">
        <v>23</v>
      </c>
      <c r="B2881" s="11" t="s">
        <v>3202</v>
      </c>
      <c r="C2881" s="12" t="s">
        <v>3206</v>
      </c>
      <c r="D2881" s="53"/>
      <c r="E2881" s="39" t="str">
        <f>HYPERLINK("https://www.google.ru/search?q=6007876-338&amp;newwindow=1&amp;tbm=isch","Еще фото")</f>
        <v>Еще фото</v>
      </c>
      <c r="F2881" s="13"/>
      <c r="G2881" s="11" t="s">
        <v>3204</v>
      </c>
      <c r="H2881" s="11" t="s">
        <v>27</v>
      </c>
      <c r="I2881" s="14" t="s">
        <v>2784</v>
      </c>
      <c r="J2881" s="14" t="s">
        <v>29</v>
      </c>
      <c r="K2881" s="15" t="s">
        <v>64</v>
      </c>
      <c r="L2881" s="56" t="s">
        <v>3205</v>
      </c>
      <c r="M2881" s="14"/>
      <c r="N2881" s="14" t="s">
        <v>125</v>
      </c>
      <c r="O2881" s="14"/>
      <c r="P2881" s="15" t="s">
        <v>261</v>
      </c>
      <c r="Q2881" s="16">
        <v>4799</v>
      </c>
      <c r="R2881" s="17">
        <v>40</v>
      </c>
      <c r="S2881" s="18">
        <v>3311.31</v>
      </c>
      <c r="T2881" s="19" t="s">
        <v>36</v>
      </c>
      <c r="U2881" s="20" t="s">
        <v>37</v>
      </c>
      <c r="V2881" s="21" t="s">
        <v>86</v>
      </c>
      <c r="W2881" s="22">
        <v>1</v>
      </c>
      <c r="X2881" s="23"/>
    </row>
    <row r="2882" spans="1:24" s="1" customFormat="1" ht="35.1" customHeight="1" x14ac:dyDescent="0.3">
      <c r="A2882" s="24" t="s">
        <v>23</v>
      </c>
      <c r="B2882" s="24" t="s">
        <v>3202</v>
      </c>
      <c r="C2882" s="12" t="s">
        <v>3206</v>
      </c>
      <c r="D2882" s="54"/>
      <c r="E2882" s="39" t="str">
        <f>HYPERLINK("https://www.google.ru/search?q=6007876-338&amp;newwindow=1&amp;tbm=isch","Еще фото")</f>
        <v>Еще фото</v>
      </c>
      <c r="F2882" s="13"/>
      <c r="G2882" s="24" t="s">
        <v>3204</v>
      </c>
      <c r="H2882" s="24" t="s">
        <v>27</v>
      </c>
      <c r="I2882" s="24" t="s">
        <v>2784</v>
      </c>
      <c r="J2882" s="14" t="s">
        <v>29</v>
      </c>
      <c r="K2882" s="15" t="s">
        <v>64</v>
      </c>
      <c r="L2882" s="57"/>
      <c r="M2882" s="14"/>
      <c r="N2882" s="14" t="s">
        <v>125</v>
      </c>
      <c r="O2882" s="14"/>
      <c r="P2882" s="15" t="s">
        <v>261</v>
      </c>
      <c r="Q2882" s="16">
        <v>4799</v>
      </c>
      <c r="R2882" s="17">
        <v>40</v>
      </c>
      <c r="S2882" s="18">
        <v>3311.31</v>
      </c>
      <c r="T2882" s="19" t="s">
        <v>36</v>
      </c>
      <c r="U2882" s="20" t="s">
        <v>39</v>
      </c>
      <c r="V2882" s="21" t="s">
        <v>38</v>
      </c>
      <c r="W2882" s="22">
        <v>3</v>
      </c>
      <c r="X2882" s="23"/>
    </row>
    <row r="2883" spans="1:24" s="1" customFormat="1" ht="36.950000000000003" customHeight="1" x14ac:dyDescent="0.3">
      <c r="A2883" s="24" t="s">
        <v>23</v>
      </c>
      <c r="B2883" s="24" t="s">
        <v>3202</v>
      </c>
      <c r="C2883" s="12" t="s">
        <v>3206</v>
      </c>
      <c r="D2883" s="55"/>
      <c r="E2883" s="39" t="str">
        <f>HYPERLINK("https://www.google.ru/search?q=6007876-338&amp;newwindow=1&amp;tbm=isch","Еще фото")</f>
        <v>Еще фото</v>
      </c>
      <c r="F2883" s="13"/>
      <c r="G2883" s="24" t="s">
        <v>3204</v>
      </c>
      <c r="H2883" s="24" t="s">
        <v>27</v>
      </c>
      <c r="I2883" s="24" t="s">
        <v>2784</v>
      </c>
      <c r="J2883" s="14" t="s">
        <v>29</v>
      </c>
      <c r="K2883" s="15" t="s">
        <v>64</v>
      </c>
      <c r="L2883" s="58"/>
      <c r="M2883" s="14"/>
      <c r="N2883" s="14" t="s">
        <v>125</v>
      </c>
      <c r="O2883" s="14"/>
      <c r="P2883" s="15" t="s">
        <v>261</v>
      </c>
      <c r="Q2883" s="16">
        <v>4799</v>
      </c>
      <c r="R2883" s="17">
        <v>40</v>
      </c>
      <c r="S2883" s="18">
        <v>3311.31</v>
      </c>
      <c r="T2883" s="19" t="s">
        <v>36</v>
      </c>
      <c r="U2883" s="20" t="s">
        <v>41</v>
      </c>
      <c r="V2883" s="21" t="s">
        <v>40</v>
      </c>
      <c r="W2883" s="22">
        <v>1</v>
      </c>
      <c r="X2883" s="23"/>
    </row>
    <row r="2884" spans="1:24" s="1" customFormat="1" ht="21" customHeight="1" x14ac:dyDescent="0.3">
      <c r="A2884" s="11" t="s">
        <v>23</v>
      </c>
      <c r="B2884" s="11" t="s">
        <v>3207</v>
      </c>
      <c r="C2884" s="26" t="s">
        <v>3208</v>
      </c>
      <c r="D2884" s="53"/>
      <c r="E2884" s="39" t="str">
        <f>HYPERLINK("https://www.google.ru/search?q=6009174-016&amp;newwindow=1&amp;tbm=isch","Еще фото")</f>
        <v>Еще фото</v>
      </c>
      <c r="F2884" s="13"/>
      <c r="G2884" s="11" t="s">
        <v>2788</v>
      </c>
      <c r="H2884" s="11" t="s">
        <v>27</v>
      </c>
      <c r="I2884" s="14" t="s">
        <v>2784</v>
      </c>
      <c r="J2884" s="14" t="s">
        <v>840</v>
      </c>
      <c r="K2884" s="15" t="s">
        <v>64</v>
      </c>
      <c r="L2884" s="56" t="s">
        <v>3209</v>
      </c>
      <c r="M2884" s="14"/>
      <c r="N2884" s="14" t="s">
        <v>84</v>
      </c>
      <c r="O2884" s="14"/>
      <c r="P2884" s="15" t="s">
        <v>2744</v>
      </c>
      <c r="Q2884" s="16">
        <v>4299</v>
      </c>
      <c r="R2884" s="17">
        <v>40</v>
      </c>
      <c r="S2884" s="18">
        <v>2966.31</v>
      </c>
      <c r="T2884" s="19" t="s">
        <v>36</v>
      </c>
      <c r="U2884" s="20" t="s">
        <v>69</v>
      </c>
      <c r="V2884" s="21" t="s">
        <v>70</v>
      </c>
      <c r="W2884" s="22">
        <v>10</v>
      </c>
      <c r="X2884" s="23"/>
    </row>
    <row r="2885" spans="1:24" s="1" customFormat="1" ht="21" customHeight="1" x14ac:dyDescent="0.3">
      <c r="A2885" s="24" t="s">
        <v>23</v>
      </c>
      <c r="B2885" s="24" t="s">
        <v>3207</v>
      </c>
      <c r="C2885" s="27" t="s">
        <v>3208</v>
      </c>
      <c r="D2885" s="54"/>
      <c r="E2885" s="39" t="str">
        <f>HYPERLINK("https://www.google.ru/search?q=6009174-016&amp;newwindow=1&amp;tbm=isch","Еще фото")</f>
        <v>Еще фото</v>
      </c>
      <c r="F2885" s="13"/>
      <c r="G2885" s="24" t="s">
        <v>2788</v>
      </c>
      <c r="H2885" s="24" t="s">
        <v>27</v>
      </c>
      <c r="I2885" s="24" t="s">
        <v>2784</v>
      </c>
      <c r="J2885" s="14" t="s">
        <v>840</v>
      </c>
      <c r="K2885" s="15" t="s">
        <v>64</v>
      </c>
      <c r="L2885" s="57"/>
      <c r="M2885" s="14"/>
      <c r="N2885" s="14" t="s">
        <v>84</v>
      </c>
      <c r="O2885" s="14"/>
      <c r="P2885" s="15" t="s">
        <v>2744</v>
      </c>
      <c r="Q2885" s="16">
        <v>4299</v>
      </c>
      <c r="R2885" s="17">
        <v>40</v>
      </c>
      <c r="S2885" s="18">
        <v>2966.31</v>
      </c>
      <c r="T2885" s="19" t="s">
        <v>36</v>
      </c>
      <c r="U2885" s="20" t="s">
        <v>37</v>
      </c>
      <c r="V2885" s="21" t="s">
        <v>86</v>
      </c>
      <c r="W2885" s="22">
        <v>14</v>
      </c>
      <c r="X2885" s="23"/>
    </row>
    <row r="2886" spans="1:24" s="1" customFormat="1" ht="21" customHeight="1" x14ac:dyDescent="0.3">
      <c r="A2886" s="24" t="s">
        <v>23</v>
      </c>
      <c r="B2886" s="24" t="s">
        <v>3207</v>
      </c>
      <c r="C2886" s="27" t="s">
        <v>3208</v>
      </c>
      <c r="D2886" s="54"/>
      <c r="E2886" s="39" t="str">
        <f>HYPERLINK("https://www.google.ru/search?q=6009174-016&amp;newwindow=1&amp;tbm=isch","Еще фото")</f>
        <v>Еще фото</v>
      </c>
      <c r="F2886" s="13"/>
      <c r="G2886" s="24" t="s">
        <v>2788</v>
      </c>
      <c r="H2886" s="24" t="s">
        <v>27</v>
      </c>
      <c r="I2886" s="24" t="s">
        <v>2784</v>
      </c>
      <c r="J2886" s="14" t="s">
        <v>840</v>
      </c>
      <c r="K2886" s="15" t="s">
        <v>64</v>
      </c>
      <c r="L2886" s="57"/>
      <c r="M2886" s="14"/>
      <c r="N2886" s="14" t="s">
        <v>84</v>
      </c>
      <c r="O2886" s="14"/>
      <c r="P2886" s="15" t="s">
        <v>2744</v>
      </c>
      <c r="Q2886" s="16">
        <v>4299</v>
      </c>
      <c r="R2886" s="17">
        <v>40</v>
      </c>
      <c r="S2886" s="18">
        <v>2966.31</v>
      </c>
      <c r="T2886" s="19" t="s">
        <v>36</v>
      </c>
      <c r="U2886" s="20" t="s">
        <v>39</v>
      </c>
      <c r="V2886" s="21" t="s">
        <v>38</v>
      </c>
      <c r="W2886" s="22">
        <v>17</v>
      </c>
      <c r="X2886" s="23"/>
    </row>
    <row r="2887" spans="1:24" s="1" customFormat="1" ht="21" customHeight="1" x14ac:dyDescent="0.3">
      <c r="A2887" s="24" t="s">
        <v>23</v>
      </c>
      <c r="B2887" s="24" t="s">
        <v>3207</v>
      </c>
      <c r="C2887" s="27" t="s">
        <v>3208</v>
      </c>
      <c r="D2887" s="54"/>
      <c r="E2887" s="39" t="str">
        <f>HYPERLINK("https://www.google.ru/search?q=6009174-016&amp;newwindow=1&amp;tbm=isch","Еще фото")</f>
        <v>Еще фото</v>
      </c>
      <c r="F2887" s="13"/>
      <c r="G2887" s="24" t="s">
        <v>2788</v>
      </c>
      <c r="H2887" s="24" t="s">
        <v>27</v>
      </c>
      <c r="I2887" s="24" t="s">
        <v>2784</v>
      </c>
      <c r="J2887" s="14" t="s">
        <v>840</v>
      </c>
      <c r="K2887" s="15" t="s">
        <v>64</v>
      </c>
      <c r="L2887" s="57"/>
      <c r="M2887" s="14"/>
      <c r="N2887" s="14" t="s">
        <v>84</v>
      </c>
      <c r="O2887" s="14"/>
      <c r="P2887" s="15" t="s">
        <v>2744</v>
      </c>
      <c r="Q2887" s="16">
        <v>4299</v>
      </c>
      <c r="R2887" s="17">
        <v>40</v>
      </c>
      <c r="S2887" s="18">
        <v>2966.31</v>
      </c>
      <c r="T2887" s="19" t="s">
        <v>36</v>
      </c>
      <c r="U2887" s="20" t="s">
        <v>41</v>
      </c>
      <c r="V2887" s="21" t="s">
        <v>40</v>
      </c>
      <c r="W2887" s="22">
        <v>13</v>
      </c>
      <c r="X2887" s="23"/>
    </row>
    <row r="2888" spans="1:24" s="1" customFormat="1" ht="32.1" customHeight="1" x14ac:dyDescent="0.3">
      <c r="A2888" s="24" t="s">
        <v>23</v>
      </c>
      <c r="B2888" s="24" t="s">
        <v>3207</v>
      </c>
      <c r="C2888" s="27" t="s">
        <v>3208</v>
      </c>
      <c r="D2888" s="55"/>
      <c r="E2888" s="39" t="str">
        <f>HYPERLINK("https://www.google.ru/search?q=6009174-016&amp;newwindow=1&amp;tbm=isch","Еще фото")</f>
        <v>Еще фото</v>
      </c>
      <c r="F2888" s="13"/>
      <c r="G2888" s="24" t="s">
        <v>2788</v>
      </c>
      <c r="H2888" s="24" t="s">
        <v>27</v>
      </c>
      <c r="I2888" s="24" t="s">
        <v>2784</v>
      </c>
      <c r="J2888" s="14" t="s">
        <v>840</v>
      </c>
      <c r="K2888" s="15" t="s">
        <v>64</v>
      </c>
      <c r="L2888" s="58"/>
      <c r="M2888" s="14"/>
      <c r="N2888" s="14" t="s">
        <v>84</v>
      </c>
      <c r="O2888" s="14"/>
      <c r="P2888" s="15" t="s">
        <v>2744</v>
      </c>
      <c r="Q2888" s="16">
        <v>4299</v>
      </c>
      <c r="R2888" s="17">
        <v>40</v>
      </c>
      <c r="S2888" s="18">
        <v>2966.31</v>
      </c>
      <c r="T2888" s="19" t="s">
        <v>36</v>
      </c>
      <c r="U2888" s="20" t="s">
        <v>43</v>
      </c>
      <c r="V2888" s="21" t="s">
        <v>42</v>
      </c>
      <c r="W2888" s="22">
        <v>1</v>
      </c>
      <c r="X2888" s="23"/>
    </row>
    <row r="2889" spans="1:24" s="1" customFormat="1" ht="51.95" customHeight="1" x14ac:dyDescent="0.3">
      <c r="A2889" s="11" t="s">
        <v>23</v>
      </c>
      <c r="B2889" s="11" t="s">
        <v>3210</v>
      </c>
      <c r="C2889" s="12" t="s">
        <v>3211</v>
      </c>
      <c r="D2889" s="59"/>
      <c r="E2889" s="39" t="str">
        <f>HYPERLINK("https://www.google.ru/search?q=6009244-338&amp;newwindow=1&amp;tbm=isch","Еще фото")</f>
        <v>Еще фото</v>
      </c>
      <c r="F2889" s="13"/>
      <c r="G2889" s="11" t="s">
        <v>2788</v>
      </c>
      <c r="H2889" s="11" t="s">
        <v>27</v>
      </c>
      <c r="I2889" s="14" t="s">
        <v>2784</v>
      </c>
      <c r="J2889" s="14" t="s">
        <v>47</v>
      </c>
      <c r="K2889" s="15" t="s">
        <v>30</v>
      </c>
      <c r="L2889" s="56"/>
      <c r="M2889" s="14"/>
      <c r="N2889" s="14" t="s">
        <v>125</v>
      </c>
      <c r="O2889" s="14"/>
      <c r="P2889" s="15" t="s">
        <v>2856</v>
      </c>
      <c r="Q2889" s="16">
        <v>2699</v>
      </c>
      <c r="R2889" s="17">
        <v>40</v>
      </c>
      <c r="S2889" s="18">
        <v>1862.31</v>
      </c>
      <c r="T2889" s="19" t="s">
        <v>36</v>
      </c>
      <c r="U2889" s="20" t="s">
        <v>39</v>
      </c>
      <c r="V2889" s="21" t="s">
        <v>40</v>
      </c>
      <c r="W2889" s="22">
        <v>1</v>
      </c>
      <c r="X2889" s="23"/>
    </row>
    <row r="2890" spans="1:24" s="1" customFormat="1" ht="60.95" customHeight="1" x14ac:dyDescent="0.3">
      <c r="A2890" s="24" t="s">
        <v>23</v>
      </c>
      <c r="B2890" s="24" t="s">
        <v>3210</v>
      </c>
      <c r="C2890" s="12" t="s">
        <v>3211</v>
      </c>
      <c r="D2890" s="60"/>
      <c r="E2890" s="39" t="str">
        <f>HYPERLINK("https://www.google.ru/search?q=6009244-338&amp;newwindow=1&amp;tbm=isch","Еще фото")</f>
        <v>Еще фото</v>
      </c>
      <c r="F2890" s="13"/>
      <c r="G2890" s="24" t="s">
        <v>2788</v>
      </c>
      <c r="H2890" s="24" t="s">
        <v>27</v>
      </c>
      <c r="I2890" s="24" t="s">
        <v>2784</v>
      </c>
      <c r="J2890" s="14" t="s">
        <v>47</v>
      </c>
      <c r="K2890" s="15" t="s">
        <v>30</v>
      </c>
      <c r="L2890" s="58"/>
      <c r="M2890" s="14"/>
      <c r="N2890" s="14" t="s">
        <v>125</v>
      </c>
      <c r="O2890" s="14"/>
      <c r="P2890" s="15" t="s">
        <v>2856</v>
      </c>
      <c r="Q2890" s="16">
        <v>2699</v>
      </c>
      <c r="R2890" s="17">
        <v>40</v>
      </c>
      <c r="S2890" s="18">
        <v>1862.31</v>
      </c>
      <c r="T2890" s="19" t="s">
        <v>36</v>
      </c>
      <c r="U2890" s="20" t="s">
        <v>43</v>
      </c>
      <c r="V2890" s="21" t="s">
        <v>44</v>
      </c>
      <c r="W2890" s="22">
        <v>1</v>
      </c>
      <c r="X2890" s="23"/>
    </row>
    <row r="2891" spans="1:24" s="1" customFormat="1" ht="108" customHeight="1" x14ac:dyDescent="0.3">
      <c r="A2891" s="11" t="s">
        <v>23</v>
      </c>
      <c r="B2891" s="11" t="s">
        <v>3210</v>
      </c>
      <c r="C2891" s="12" t="s">
        <v>3212</v>
      </c>
      <c r="D2891" s="25"/>
      <c r="E2891" s="39" t="str">
        <f>HYPERLINK("https://www.google.ru/search?q=6009244-520&amp;newwindow=1&amp;tbm=isch","Еще фото")</f>
        <v>Еще фото</v>
      </c>
      <c r="F2891" s="13"/>
      <c r="G2891" s="11" t="s">
        <v>2788</v>
      </c>
      <c r="H2891" s="11" t="s">
        <v>27</v>
      </c>
      <c r="I2891" s="14" t="s">
        <v>2784</v>
      </c>
      <c r="J2891" s="14" t="s">
        <v>47</v>
      </c>
      <c r="K2891" s="15" t="s">
        <v>30</v>
      </c>
      <c r="L2891" s="14"/>
      <c r="M2891" s="14"/>
      <c r="N2891" s="14" t="s">
        <v>67</v>
      </c>
      <c r="O2891" s="14"/>
      <c r="P2891" s="15" t="s">
        <v>2856</v>
      </c>
      <c r="Q2891" s="16">
        <v>2699</v>
      </c>
      <c r="R2891" s="17">
        <v>40</v>
      </c>
      <c r="S2891" s="18">
        <v>1862.31</v>
      </c>
      <c r="T2891" s="19" t="s">
        <v>36</v>
      </c>
      <c r="U2891" s="20" t="s">
        <v>39</v>
      </c>
      <c r="V2891" s="21" t="s">
        <v>40</v>
      </c>
      <c r="W2891" s="22">
        <v>1</v>
      </c>
      <c r="X2891" s="23"/>
    </row>
    <row r="2892" spans="1:24" s="1" customFormat="1" ht="108" customHeight="1" x14ac:dyDescent="0.3">
      <c r="A2892" s="11" t="s">
        <v>23</v>
      </c>
      <c r="B2892" s="11" t="s">
        <v>3213</v>
      </c>
      <c r="C2892" s="12" t="s">
        <v>3214</v>
      </c>
      <c r="D2892" s="25"/>
      <c r="E2892" s="39" t="str">
        <f>HYPERLINK("https://www.google.ru/search?q=6009250-001&amp;newwindow=1&amp;tbm=isch","Еще фото")</f>
        <v>Еще фото</v>
      </c>
      <c r="F2892" s="13"/>
      <c r="G2892" s="11" t="s">
        <v>2788</v>
      </c>
      <c r="H2892" s="11" t="s">
        <v>27</v>
      </c>
      <c r="I2892" s="14" t="s">
        <v>2784</v>
      </c>
      <c r="J2892" s="14" t="s">
        <v>47</v>
      </c>
      <c r="K2892" s="15" t="s">
        <v>30</v>
      </c>
      <c r="L2892" s="14" t="s">
        <v>3215</v>
      </c>
      <c r="M2892" s="14"/>
      <c r="N2892" s="14" t="s">
        <v>33</v>
      </c>
      <c r="O2892" s="14"/>
      <c r="P2892" s="15" t="s">
        <v>2856</v>
      </c>
      <c r="Q2892" s="16">
        <v>2899</v>
      </c>
      <c r="R2892" s="17">
        <v>40</v>
      </c>
      <c r="S2892" s="18">
        <v>2000.31</v>
      </c>
      <c r="T2892" s="19" t="s">
        <v>36</v>
      </c>
      <c r="U2892" s="20" t="s">
        <v>37</v>
      </c>
      <c r="V2892" s="21" t="s">
        <v>38</v>
      </c>
      <c r="W2892" s="22">
        <v>1</v>
      </c>
      <c r="X2892" s="23"/>
    </row>
    <row r="2893" spans="1:24" s="1" customFormat="1" ht="108" customHeight="1" x14ac:dyDescent="0.3">
      <c r="A2893" s="11" t="s">
        <v>23</v>
      </c>
      <c r="B2893" s="11" t="s">
        <v>3213</v>
      </c>
      <c r="C2893" s="12" t="s">
        <v>3216</v>
      </c>
      <c r="D2893" s="25"/>
      <c r="E2893" s="39" t="str">
        <f>HYPERLINK("https://www.google.ru/search?q=6009250-498&amp;newwindow=1&amp;tbm=isch","Еще фото")</f>
        <v>Еще фото</v>
      </c>
      <c r="F2893" s="13"/>
      <c r="G2893" s="11" t="s">
        <v>2788</v>
      </c>
      <c r="H2893" s="11" t="s">
        <v>27</v>
      </c>
      <c r="I2893" s="14" t="s">
        <v>2784</v>
      </c>
      <c r="J2893" s="14" t="s">
        <v>47</v>
      </c>
      <c r="K2893" s="15" t="s">
        <v>30</v>
      </c>
      <c r="L2893" s="14" t="s">
        <v>3215</v>
      </c>
      <c r="M2893" s="14"/>
      <c r="N2893" s="14" t="s">
        <v>91</v>
      </c>
      <c r="O2893" s="14"/>
      <c r="P2893" s="15" t="s">
        <v>2856</v>
      </c>
      <c r="Q2893" s="16">
        <v>2899</v>
      </c>
      <c r="R2893" s="17">
        <v>40</v>
      </c>
      <c r="S2893" s="18">
        <v>2000.31</v>
      </c>
      <c r="T2893" s="19" t="s">
        <v>36</v>
      </c>
      <c r="U2893" s="20" t="s">
        <v>43</v>
      </c>
      <c r="V2893" s="21" t="s">
        <v>44</v>
      </c>
      <c r="W2893" s="22">
        <v>1</v>
      </c>
      <c r="X2893" s="23"/>
    </row>
    <row r="2894" spans="1:24" s="1" customFormat="1" ht="108" customHeight="1" x14ac:dyDescent="0.3">
      <c r="A2894" s="11" t="s">
        <v>23</v>
      </c>
      <c r="B2894" s="11" t="s">
        <v>3217</v>
      </c>
      <c r="C2894" s="12" t="s">
        <v>3218</v>
      </c>
      <c r="D2894" s="25"/>
      <c r="E2894" s="39" t="str">
        <f>HYPERLINK("https://www.google.ru/search?q=6009268-008&amp;newwindow=1&amp;tbm=isch","Еще фото")</f>
        <v>Еще фото</v>
      </c>
      <c r="F2894" s="13"/>
      <c r="G2894" s="11" t="s">
        <v>2788</v>
      </c>
      <c r="H2894" s="11" t="s">
        <v>27</v>
      </c>
      <c r="I2894" s="14" t="s">
        <v>2784</v>
      </c>
      <c r="J2894" s="14" t="s">
        <v>47</v>
      </c>
      <c r="K2894" s="15" t="s">
        <v>30</v>
      </c>
      <c r="L2894" s="14" t="s">
        <v>3219</v>
      </c>
      <c r="M2894" s="14"/>
      <c r="N2894" s="14" t="s">
        <v>33</v>
      </c>
      <c r="O2894" s="14"/>
      <c r="P2894" s="15" t="s">
        <v>2601</v>
      </c>
      <c r="Q2894" s="16">
        <v>4299</v>
      </c>
      <c r="R2894" s="17">
        <v>40</v>
      </c>
      <c r="S2894" s="18">
        <v>2966.31</v>
      </c>
      <c r="T2894" s="19" t="s">
        <v>36</v>
      </c>
      <c r="U2894" s="20" t="s">
        <v>39</v>
      </c>
      <c r="V2894" s="21" t="s">
        <v>40</v>
      </c>
      <c r="W2894" s="22">
        <v>2</v>
      </c>
      <c r="X2894" s="23"/>
    </row>
    <row r="2895" spans="1:24" s="1" customFormat="1" ht="51.95" customHeight="1" x14ac:dyDescent="0.3">
      <c r="A2895" s="11" t="s">
        <v>23</v>
      </c>
      <c r="B2895" s="11" t="s">
        <v>3220</v>
      </c>
      <c r="C2895" s="12" t="s">
        <v>3221</v>
      </c>
      <c r="D2895" s="59"/>
      <c r="E2895" s="39" t="str">
        <f>HYPERLINK("https://www.google.ru/search?q=6009319-001&amp;newwindow=1&amp;tbm=isch","Еще фото")</f>
        <v>Еще фото</v>
      </c>
      <c r="F2895" s="13"/>
      <c r="G2895" s="11" t="s">
        <v>2788</v>
      </c>
      <c r="H2895" s="11" t="s">
        <v>27</v>
      </c>
      <c r="I2895" s="14" t="s">
        <v>2784</v>
      </c>
      <c r="J2895" s="14" t="s">
        <v>892</v>
      </c>
      <c r="K2895" s="15" t="s">
        <v>54</v>
      </c>
      <c r="L2895" s="56" t="s">
        <v>3222</v>
      </c>
      <c r="M2895" s="14"/>
      <c r="N2895" s="14" t="s">
        <v>33</v>
      </c>
      <c r="O2895" s="14"/>
      <c r="P2895" s="15" t="s">
        <v>2601</v>
      </c>
      <c r="Q2895" s="16">
        <v>2199</v>
      </c>
      <c r="R2895" s="17">
        <v>40</v>
      </c>
      <c r="S2895" s="18">
        <v>1517.31</v>
      </c>
      <c r="T2895" s="19" t="s">
        <v>36</v>
      </c>
      <c r="U2895" s="20" t="s">
        <v>114</v>
      </c>
      <c r="V2895" s="21" t="s">
        <v>115</v>
      </c>
      <c r="W2895" s="22">
        <v>5</v>
      </c>
      <c r="X2895" s="23"/>
    </row>
    <row r="2896" spans="1:24" s="1" customFormat="1" ht="60.95" customHeight="1" x14ac:dyDescent="0.3">
      <c r="A2896" s="24" t="s">
        <v>23</v>
      </c>
      <c r="B2896" s="24" t="s">
        <v>3220</v>
      </c>
      <c r="C2896" s="12" t="s">
        <v>3221</v>
      </c>
      <c r="D2896" s="60"/>
      <c r="E2896" s="39" t="str">
        <f>HYPERLINK("https://www.google.ru/search?q=6009319-001&amp;newwindow=1&amp;tbm=isch","Еще фото")</f>
        <v>Еще фото</v>
      </c>
      <c r="F2896" s="13"/>
      <c r="G2896" s="24" t="s">
        <v>2788</v>
      </c>
      <c r="H2896" s="24" t="s">
        <v>27</v>
      </c>
      <c r="I2896" s="24" t="s">
        <v>2784</v>
      </c>
      <c r="J2896" s="14" t="s">
        <v>892</v>
      </c>
      <c r="K2896" s="15" t="s">
        <v>54</v>
      </c>
      <c r="L2896" s="58"/>
      <c r="M2896" s="14"/>
      <c r="N2896" s="14" t="s">
        <v>33</v>
      </c>
      <c r="O2896" s="14"/>
      <c r="P2896" s="15" t="s">
        <v>2601</v>
      </c>
      <c r="Q2896" s="16">
        <v>2199</v>
      </c>
      <c r="R2896" s="17">
        <v>40</v>
      </c>
      <c r="S2896" s="18">
        <v>1517.31</v>
      </c>
      <c r="T2896" s="19" t="s">
        <v>36</v>
      </c>
      <c r="U2896" s="20" t="s">
        <v>126</v>
      </c>
      <c r="V2896" s="21" t="s">
        <v>127</v>
      </c>
      <c r="W2896" s="22">
        <v>1</v>
      </c>
      <c r="X2896" s="23"/>
    </row>
    <row r="2897" spans="1:24" s="1" customFormat="1" ht="108" customHeight="1" x14ac:dyDescent="0.3">
      <c r="A2897" s="11" t="s">
        <v>23</v>
      </c>
      <c r="B2897" s="11" t="s">
        <v>3223</v>
      </c>
      <c r="C2897" s="12" t="s">
        <v>3224</v>
      </c>
      <c r="D2897" s="25"/>
      <c r="E2897" s="39" t="str">
        <f>HYPERLINK("https://www.google.ru/search?q=6009326-008&amp;newwindow=1&amp;tbm=isch","Еще фото")</f>
        <v>Еще фото</v>
      </c>
      <c r="F2897" s="13"/>
      <c r="G2897" s="11" t="s">
        <v>2788</v>
      </c>
      <c r="H2897" s="11" t="s">
        <v>27</v>
      </c>
      <c r="I2897" s="14" t="s">
        <v>2784</v>
      </c>
      <c r="J2897" s="14" t="s">
        <v>892</v>
      </c>
      <c r="K2897" s="15" t="s">
        <v>30</v>
      </c>
      <c r="L2897" s="14" t="s">
        <v>3225</v>
      </c>
      <c r="M2897" s="14"/>
      <c r="N2897" s="14" t="s">
        <v>33</v>
      </c>
      <c r="O2897" s="14"/>
      <c r="P2897" s="15" t="s">
        <v>2801</v>
      </c>
      <c r="Q2897" s="16">
        <v>4199</v>
      </c>
      <c r="R2897" s="17">
        <v>40</v>
      </c>
      <c r="S2897" s="18">
        <v>2897.31</v>
      </c>
      <c r="T2897" s="19" t="s">
        <v>36</v>
      </c>
      <c r="U2897" s="20" t="s">
        <v>39</v>
      </c>
      <c r="V2897" s="21" t="s">
        <v>40</v>
      </c>
      <c r="W2897" s="22">
        <v>1</v>
      </c>
      <c r="X2897" s="23"/>
    </row>
    <row r="2898" spans="1:24" s="1" customFormat="1" ht="21" customHeight="1" x14ac:dyDescent="0.3">
      <c r="A2898" s="11" t="s">
        <v>23</v>
      </c>
      <c r="B2898" s="11" t="s">
        <v>2875</v>
      </c>
      <c r="C2898" s="26" t="s">
        <v>3226</v>
      </c>
      <c r="D2898" s="53"/>
      <c r="E2898" s="39" t="str">
        <f>HYPERLINK("https://www.google.ru/search?q=6009506-069&amp;newwindow=1&amp;tbm=isch","Еще фото")</f>
        <v>Еще фото</v>
      </c>
      <c r="F2898" s="13"/>
      <c r="G2898" s="11" t="s">
        <v>2788</v>
      </c>
      <c r="H2898" s="11" t="s">
        <v>27</v>
      </c>
      <c r="I2898" s="14" t="s">
        <v>2784</v>
      </c>
      <c r="J2898" s="14" t="s">
        <v>29</v>
      </c>
      <c r="K2898" s="15" t="s">
        <v>30</v>
      </c>
      <c r="L2898" s="56"/>
      <c r="M2898" s="14"/>
      <c r="N2898" s="14" t="s">
        <v>84</v>
      </c>
      <c r="O2898" s="14"/>
      <c r="P2898" s="15" t="s">
        <v>2913</v>
      </c>
      <c r="Q2898" s="16">
        <v>6499</v>
      </c>
      <c r="R2898" s="17">
        <v>40</v>
      </c>
      <c r="S2898" s="18">
        <v>4484.3099999999995</v>
      </c>
      <c r="T2898" s="19" t="s">
        <v>36</v>
      </c>
      <c r="U2898" s="20" t="s">
        <v>37</v>
      </c>
      <c r="V2898" s="21" t="s">
        <v>38</v>
      </c>
      <c r="W2898" s="22">
        <v>6</v>
      </c>
      <c r="X2898" s="23"/>
    </row>
    <row r="2899" spans="1:24" s="1" customFormat="1" ht="21" customHeight="1" x14ac:dyDescent="0.3">
      <c r="A2899" s="24" t="s">
        <v>23</v>
      </c>
      <c r="B2899" s="24" t="s">
        <v>2875</v>
      </c>
      <c r="C2899" s="27" t="s">
        <v>3226</v>
      </c>
      <c r="D2899" s="54"/>
      <c r="E2899" s="39" t="str">
        <f>HYPERLINK("https://www.google.ru/search?q=6009506-069&amp;newwindow=1&amp;tbm=isch","Еще фото")</f>
        <v>Еще фото</v>
      </c>
      <c r="F2899" s="13"/>
      <c r="G2899" s="24" t="s">
        <v>2788</v>
      </c>
      <c r="H2899" s="24" t="s">
        <v>27</v>
      </c>
      <c r="I2899" s="24" t="s">
        <v>2784</v>
      </c>
      <c r="J2899" s="14" t="s">
        <v>29</v>
      </c>
      <c r="K2899" s="15" t="s">
        <v>30</v>
      </c>
      <c r="L2899" s="57"/>
      <c r="M2899" s="14"/>
      <c r="N2899" s="14" t="s">
        <v>84</v>
      </c>
      <c r="O2899" s="14"/>
      <c r="P2899" s="15" t="s">
        <v>2913</v>
      </c>
      <c r="Q2899" s="16">
        <v>6499</v>
      </c>
      <c r="R2899" s="17">
        <v>40</v>
      </c>
      <c r="S2899" s="18">
        <v>4484.3099999999995</v>
      </c>
      <c r="T2899" s="19" t="s">
        <v>36</v>
      </c>
      <c r="U2899" s="20" t="s">
        <v>39</v>
      </c>
      <c r="V2899" s="21" t="s">
        <v>40</v>
      </c>
      <c r="W2899" s="22">
        <v>15</v>
      </c>
      <c r="X2899" s="23"/>
    </row>
    <row r="2900" spans="1:24" s="1" customFormat="1" ht="21" customHeight="1" x14ac:dyDescent="0.3">
      <c r="A2900" s="24" t="s">
        <v>23</v>
      </c>
      <c r="B2900" s="24" t="s">
        <v>2875</v>
      </c>
      <c r="C2900" s="27" t="s">
        <v>3226</v>
      </c>
      <c r="D2900" s="54"/>
      <c r="E2900" s="39" t="str">
        <f>HYPERLINK("https://www.google.ru/search?q=6009506-069&amp;newwindow=1&amp;tbm=isch","Еще фото")</f>
        <v>Еще фото</v>
      </c>
      <c r="F2900" s="13"/>
      <c r="G2900" s="24" t="s">
        <v>2788</v>
      </c>
      <c r="H2900" s="24" t="s">
        <v>27</v>
      </c>
      <c r="I2900" s="24" t="s">
        <v>2784</v>
      </c>
      <c r="J2900" s="14" t="s">
        <v>29</v>
      </c>
      <c r="K2900" s="15" t="s">
        <v>30</v>
      </c>
      <c r="L2900" s="57"/>
      <c r="M2900" s="14"/>
      <c r="N2900" s="14" t="s">
        <v>84</v>
      </c>
      <c r="O2900" s="14"/>
      <c r="P2900" s="15" t="s">
        <v>2913</v>
      </c>
      <c r="Q2900" s="16">
        <v>6499</v>
      </c>
      <c r="R2900" s="17">
        <v>40</v>
      </c>
      <c r="S2900" s="18">
        <v>4484.3099999999995</v>
      </c>
      <c r="T2900" s="19" t="s">
        <v>36</v>
      </c>
      <c r="U2900" s="20" t="s">
        <v>41</v>
      </c>
      <c r="V2900" s="21" t="s">
        <v>42</v>
      </c>
      <c r="W2900" s="22">
        <v>17</v>
      </c>
      <c r="X2900" s="23"/>
    </row>
    <row r="2901" spans="1:24" s="1" customFormat="1" ht="21" customHeight="1" x14ac:dyDescent="0.3">
      <c r="A2901" s="24" t="s">
        <v>23</v>
      </c>
      <c r="B2901" s="24" t="s">
        <v>2875</v>
      </c>
      <c r="C2901" s="27" t="s">
        <v>3226</v>
      </c>
      <c r="D2901" s="54"/>
      <c r="E2901" s="39" t="str">
        <f>HYPERLINK("https://www.google.ru/search?q=6009506-069&amp;newwindow=1&amp;tbm=isch","Еще фото")</f>
        <v>Еще фото</v>
      </c>
      <c r="F2901" s="13"/>
      <c r="G2901" s="24" t="s">
        <v>2788</v>
      </c>
      <c r="H2901" s="24" t="s">
        <v>27</v>
      </c>
      <c r="I2901" s="24" t="s">
        <v>2784</v>
      </c>
      <c r="J2901" s="14" t="s">
        <v>29</v>
      </c>
      <c r="K2901" s="15" t="s">
        <v>30</v>
      </c>
      <c r="L2901" s="57"/>
      <c r="M2901" s="14"/>
      <c r="N2901" s="14" t="s">
        <v>84</v>
      </c>
      <c r="O2901" s="14"/>
      <c r="P2901" s="15" t="s">
        <v>2913</v>
      </c>
      <c r="Q2901" s="16">
        <v>6499</v>
      </c>
      <c r="R2901" s="17">
        <v>40</v>
      </c>
      <c r="S2901" s="18">
        <v>4484.3099999999995</v>
      </c>
      <c r="T2901" s="19" t="s">
        <v>36</v>
      </c>
      <c r="U2901" s="20" t="s">
        <v>43</v>
      </c>
      <c r="V2901" s="21" t="s">
        <v>44</v>
      </c>
      <c r="W2901" s="22">
        <v>13</v>
      </c>
      <c r="X2901" s="23"/>
    </row>
    <row r="2902" spans="1:24" s="1" customFormat="1" ht="32.1" customHeight="1" x14ac:dyDescent="0.3">
      <c r="A2902" s="24" t="s">
        <v>23</v>
      </c>
      <c r="B2902" s="24" t="s">
        <v>2875</v>
      </c>
      <c r="C2902" s="27" t="s">
        <v>3226</v>
      </c>
      <c r="D2902" s="55"/>
      <c r="E2902" s="39" t="str">
        <f>HYPERLINK("https://www.google.ru/search?q=6009506-069&amp;newwindow=1&amp;tbm=isch","Еще фото")</f>
        <v>Еще фото</v>
      </c>
      <c r="F2902" s="13"/>
      <c r="G2902" s="24" t="s">
        <v>2788</v>
      </c>
      <c r="H2902" s="24" t="s">
        <v>27</v>
      </c>
      <c r="I2902" s="24" t="s">
        <v>2784</v>
      </c>
      <c r="J2902" s="14" t="s">
        <v>29</v>
      </c>
      <c r="K2902" s="15" t="s">
        <v>30</v>
      </c>
      <c r="L2902" s="58"/>
      <c r="M2902" s="14"/>
      <c r="N2902" s="14" t="s">
        <v>84</v>
      </c>
      <c r="O2902" s="14"/>
      <c r="P2902" s="15" t="s">
        <v>2913</v>
      </c>
      <c r="Q2902" s="16">
        <v>6499</v>
      </c>
      <c r="R2902" s="17">
        <v>40</v>
      </c>
      <c r="S2902" s="18">
        <v>4484.3099999999995</v>
      </c>
      <c r="T2902" s="19" t="s">
        <v>36</v>
      </c>
      <c r="U2902" s="20" t="s">
        <v>104</v>
      </c>
      <c r="V2902" s="21" t="s">
        <v>105</v>
      </c>
      <c r="W2902" s="22">
        <v>7</v>
      </c>
      <c r="X2902" s="23"/>
    </row>
    <row r="2903" spans="1:24" s="1" customFormat="1" ht="21" customHeight="1" x14ac:dyDescent="0.3">
      <c r="A2903" s="11" t="s">
        <v>23</v>
      </c>
      <c r="B2903" s="11" t="s">
        <v>3227</v>
      </c>
      <c r="C2903" s="26" t="s">
        <v>3228</v>
      </c>
      <c r="D2903" s="53"/>
      <c r="E2903" s="39" t="str">
        <f>HYPERLINK("https://www.google.ru/search?q=6009507-001&amp;newwindow=1&amp;tbm=isch","Еще фото")</f>
        <v>Еще фото</v>
      </c>
      <c r="F2903" s="13" t="s">
        <v>98</v>
      </c>
      <c r="G2903" s="11" t="s">
        <v>2788</v>
      </c>
      <c r="H2903" s="11" t="s">
        <v>27</v>
      </c>
      <c r="I2903" s="14" t="s">
        <v>2784</v>
      </c>
      <c r="J2903" s="14" t="s">
        <v>29</v>
      </c>
      <c r="K2903" s="15" t="s">
        <v>30</v>
      </c>
      <c r="L2903" s="56" t="s">
        <v>3229</v>
      </c>
      <c r="M2903" s="14"/>
      <c r="N2903" s="14" t="s">
        <v>33</v>
      </c>
      <c r="O2903" s="14"/>
      <c r="P2903" s="15" t="s">
        <v>2913</v>
      </c>
      <c r="Q2903" s="16">
        <v>7099</v>
      </c>
      <c r="R2903" s="17">
        <v>40</v>
      </c>
      <c r="S2903" s="18">
        <v>4898.3099999999995</v>
      </c>
      <c r="T2903" s="19" t="s">
        <v>36</v>
      </c>
      <c r="U2903" s="20" t="s">
        <v>37</v>
      </c>
      <c r="V2903" s="21" t="s">
        <v>38</v>
      </c>
      <c r="W2903" s="22">
        <v>3</v>
      </c>
      <c r="X2903" s="23"/>
    </row>
    <row r="2904" spans="1:24" s="1" customFormat="1" ht="21" customHeight="1" x14ac:dyDescent="0.3">
      <c r="A2904" s="24" t="s">
        <v>23</v>
      </c>
      <c r="B2904" s="24" t="s">
        <v>3227</v>
      </c>
      <c r="C2904" s="27" t="s">
        <v>3228</v>
      </c>
      <c r="D2904" s="54"/>
      <c r="E2904" s="39" t="str">
        <f>HYPERLINK("https://www.google.ru/search?q=6009507-001&amp;newwindow=1&amp;tbm=isch","Еще фото")</f>
        <v>Еще фото</v>
      </c>
      <c r="F2904" s="13" t="s">
        <v>98</v>
      </c>
      <c r="G2904" s="24" t="s">
        <v>2788</v>
      </c>
      <c r="H2904" s="24" t="s">
        <v>27</v>
      </c>
      <c r="I2904" s="24" t="s">
        <v>2784</v>
      </c>
      <c r="J2904" s="14" t="s">
        <v>29</v>
      </c>
      <c r="K2904" s="15" t="s">
        <v>30</v>
      </c>
      <c r="L2904" s="57"/>
      <c r="M2904" s="14"/>
      <c r="N2904" s="14" t="s">
        <v>33</v>
      </c>
      <c r="O2904" s="14"/>
      <c r="P2904" s="15" t="s">
        <v>2913</v>
      </c>
      <c r="Q2904" s="16">
        <v>7099</v>
      </c>
      <c r="R2904" s="17">
        <v>40</v>
      </c>
      <c r="S2904" s="18">
        <v>4898.3099999999995</v>
      </c>
      <c r="T2904" s="19" t="s">
        <v>36</v>
      </c>
      <c r="U2904" s="20" t="s">
        <v>39</v>
      </c>
      <c r="V2904" s="21" t="s">
        <v>40</v>
      </c>
      <c r="W2904" s="22">
        <v>10</v>
      </c>
      <c r="X2904" s="23"/>
    </row>
    <row r="2905" spans="1:24" s="1" customFormat="1" ht="21" customHeight="1" x14ac:dyDescent="0.3">
      <c r="A2905" s="24" t="s">
        <v>23</v>
      </c>
      <c r="B2905" s="24" t="s">
        <v>3227</v>
      </c>
      <c r="C2905" s="27" t="s">
        <v>3228</v>
      </c>
      <c r="D2905" s="54"/>
      <c r="E2905" s="39" t="str">
        <f>HYPERLINK("https://www.google.ru/search?q=6009507-001&amp;newwindow=1&amp;tbm=isch","Еще фото")</f>
        <v>Еще фото</v>
      </c>
      <c r="F2905" s="13" t="s">
        <v>98</v>
      </c>
      <c r="G2905" s="24" t="s">
        <v>2788</v>
      </c>
      <c r="H2905" s="24" t="s">
        <v>27</v>
      </c>
      <c r="I2905" s="24" t="s">
        <v>2784</v>
      </c>
      <c r="J2905" s="14" t="s">
        <v>29</v>
      </c>
      <c r="K2905" s="15" t="s">
        <v>30</v>
      </c>
      <c r="L2905" s="57"/>
      <c r="M2905" s="14"/>
      <c r="N2905" s="14" t="s">
        <v>33</v>
      </c>
      <c r="O2905" s="14"/>
      <c r="P2905" s="15" t="s">
        <v>2913</v>
      </c>
      <c r="Q2905" s="16">
        <v>7099</v>
      </c>
      <c r="R2905" s="17">
        <v>40</v>
      </c>
      <c r="S2905" s="18">
        <v>4898.3099999999995</v>
      </c>
      <c r="T2905" s="19" t="s">
        <v>36</v>
      </c>
      <c r="U2905" s="20" t="s">
        <v>41</v>
      </c>
      <c r="V2905" s="21" t="s">
        <v>42</v>
      </c>
      <c r="W2905" s="22">
        <v>3</v>
      </c>
      <c r="X2905" s="23"/>
    </row>
    <row r="2906" spans="1:24" s="1" customFormat="1" ht="21" customHeight="1" x14ac:dyDescent="0.3">
      <c r="A2906" s="24" t="s">
        <v>23</v>
      </c>
      <c r="B2906" s="24" t="s">
        <v>3227</v>
      </c>
      <c r="C2906" s="27" t="s">
        <v>3228</v>
      </c>
      <c r="D2906" s="54"/>
      <c r="E2906" s="39" t="str">
        <f>HYPERLINK("https://www.google.ru/search?q=6009507-001&amp;newwindow=1&amp;tbm=isch","Еще фото")</f>
        <v>Еще фото</v>
      </c>
      <c r="F2906" s="13" t="s">
        <v>98</v>
      </c>
      <c r="G2906" s="24" t="s">
        <v>2788</v>
      </c>
      <c r="H2906" s="24" t="s">
        <v>27</v>
      </c>
      <c r="I2906" s="24" t="s">
        <v>2784</v>
      </c>
      <c r="J2906" s="14" t="s">
        <v>29</v>
      </c>
      <c r="K2906" s="15" t="s">
        <v>30</v>
      </c>
      <c r="L2906" s="57"/>
      <c r="M2906" s="14"/>
      <c r="N2906" s="14" t="s">
        <v>33</v>
      </c>
      <c r="O2906" s="14"/>
      <c r="P2906" s="15" t="s">
        <v>2913</v>
      </c>
      <c r="Q2906" s="16">
        <v>7099</v>
      </c>
      <c r="R2906" s="17">
        <v>40</v>
      </c>
      <c r="S2906" s="18">
        <v>4898.3099999999995</v>
      </c>
      <c r="T2906" s="19" t="s">
        <v>36</v>
      </c>
      <c r="U2906" s="20" t="s">
        <v>43</v>
      </c>
      <c r="V2906" s="21" t="s">
        <v>44</v>
      </c>
      <c r="W2906" s="22">
        <v>4</v>
      </c>
      <c r="X2906" s="23"/>
    </row>
    <row r="2907" spans="1:24" s="1" customFormat="1" ht="32.1" customHeight="1" x14ac:dyDescent="0.3">
      <c r="A2907" s="24" t="s">
        <v>23</v>
      </c>
      <c r="B2907" s="24" t="s">
        <v>3227</v>
      </c>
      <c r="C2907" s="27" t="s">
        <v>3228</v>
      </c>
      <c r="D2907" s="55"/>
      <c r="E2907" s="39" t="str">
        <f>HYPERLINK("https://www.google.ru/search?q=6009507-001&amp;newwindow=1&amp;tbm=isch","Еще фото")</f>
        <v>Еще фото</v>
      </c>
      <c r="F2907" s="13" t="s">
        <v>98</v>
      </c>
      <c r="G2907" s="24" t="s">
        <v>2788</v>
      </c>
      <c r="H2907" s="24" t="s">
        <v>27</v>
      </c>
      <c r="I2907" s="24" t="s">
        <v>2784</v>
      </c>
      <c r="J2907" s="14" t="s">
        <v>29</v>
      </c>
      <c r="K2907" s="15" t="s">
        <v>30</v>
      </c>
      <c r="L2907" s="58"/>
      <c r="M2907" s="14"/>
      <c r="N2907" s="14" t="s">
        <v>33</v>
      </c>
      <c r="O2907" s="14"/>
      <c r="P2907" s="15" t="s">
        <v>2913</v>
      </c>
      <c r="Q2907" s="16">
        <v>7099</v>
      </c>
      <c r="R2907" s="17">
        <v>40</v>
      </c>
      <c r="S2907" s="18">
        <v>4898.3099999999995</v>
      </c>
      <c r="T2907" s="19" t="s">
        <v>36</v>
      </c>
      <c r="U2907" s="20" t="s">
        <v>104</v>
      </c>
      <c r="V2907" s="21" t="s">
        <v>105</v>
      </c>
      <c r="W2907" s="22">
        <v>1</v>
      </c>
      <c r="X2907" s="23"/>
    </row>
    <row r="2908" spans="1:24" s="1" customFormat="1" ht="108" customHeight="1" x14ac:dyDescent="0.3">
      <c r="A2908" s="11" t="s">
        <v>23</v>
      </c>
      <c r="B2908" s="11" t="s">
        <v>3230</v>
      </c>
      <c r="C2908" s="12" t="s">
        <v>3231</v>
      </c>
      <c r="D2908" s="25"/>
      <c r="E2908" s="39" t="str">
        <f>HYPERLINK("https://www.google.ru/search?q=6009517-001&amp;newwindow=1&amp;tbm=isch","Еще фото")</f>
        <v>Еще фото</v>
      </c>
      <c r="F2908" s="13" t="s">
        <v>98</v>
      </c>
      <c r="G2908" s="11" t="s">
        <v>2788</v>
      </c>
      <c r="H2908" s="11" t="s">
        <v>27</v>
      </c>
      <c r="I2908" s="14" t="s">
        <v>2784</v>
      </c>
      <c r="J2908" s="14" t="s">
        <v>29</v>
      </c>
      <c r="K2908" s="15" t="s">
        <v>30</v>
      </c>
      <c r="L2908" s="14" t="s">
        <v>3232</v>
      </c>
      <c r="M2908" s="14"/>
      <c r="N2908" s="14" t="s">
        <v>33</v>
      </c>
      <c r="O2908" s="14"/>
      <c r="P2908" s="15" t="s">
        <v>133</v>
      </c>
      <c r="Q2908" s="16">
        <v>4299</v>
      </c>
      <c r="R2908" s="17">
        <v>40</v>
      </c>
      <c r="S2908" s="18">
        <v>2966.31</v>
      </c>
      <c r="T2908" s="19" t="s">
        <v>36</v>
      </c>
      <c r="U2908" s="20" t="s">
        <v>39</v>
      </c>
      <c r="V2908" s="21" t="s">
        <v>40</v>
      </c>
      <c r="W2908" s="22">
        <v>1</v>
      </c>
      <c r="X2908" s="23"/>
    </row>
    <row r="2909" spans="1:24" s="1" customFormat="1" ht="26.1" customHeight="1" x14ac:dyDescent="0.3">
      <c r="A2909" s="11" t="s">
        <v>23</v>
      </c>
      <c r="B2909" s="11" t="s">
        <v>3233</v>
      </c>
      <c r="C2909" s="12" t="s">
        <v>3234</v>
      </c>
      <c r="D2909" s="53"/>
      <c r="E2909" s="39" t="str">
        <f>HYPERLINK("https://www.google.ru/search?q=6009534-001&amp;newwindow=1&amp;tbm=isch","Еще фото")</f>
        <v>Еще фото</v>
      </c>
      <c r="F2909" s="13"/>
      <c r="G2909" s="11" t="s">
        <v>2788</v>
      </c>
      <c r="H2909" s="11" t="s">
        <v>27</v>
      </c>
      <c r="I2909" s="14" t="s">
        <v>2784</v>
      </c>
      <c r="J2909" s="14" t="s">
        <v>29</v>
      </c>
      <c r="K2909" s="15" t="s">
        <v>64</v>
      </c>
      <c r="L2909" s="56" t="s">
        <v>3235</v>
      </c>
      <c r="M2909" s="14"/>
      <c r="N2909" s="14" t="s">
        <v>33</v>
      </c>
      <c r="O2909" s="14"/>
      <c r="P2909" s="15" t="s">
        <v>2601</v>
      </c>
      <c r="Q2909" s="16">
        <v>4599</v>
      </c>
      <c r="R2909" s="17">
        <v>40</v>
      </c>
      <c r="S2909" s="18">
        <v>3173.31</v>
      </c>
      <c r="T2909" s="19" t="s">
        <v>36</v>
      </c>
      <c r="U2909" s="20" t="s">
        <v>69</v>
      </c>
      <c r="V2909" s="21" t="s">
        <v>70</v>
      </c>
      <c r="W2909" s="22">
        <v>1</v>
      </c>
      <c r="X2909" s="23"/>
    </row>
    <row r="2910" spans="1:24" s="1" customFormat="1" ht="26.1" customHeight="1" x14ac:dyDescent="0.3">
      <c r="A2910" s="24" t="s">
        <v>23</v>
      </c>
      <c r="B2910" s="24" t="s">
        <v>3233</v>
      </c>
      <c r="C2910" s="12" t="s">
        <v>3234</v>
      </c>
      <c r="D2910" s="54"/>
      <c r="E2910" s="39" t="str">
        <f>HYPERLINK("https://www.google.ru/search?q=6009534-001&amp;newwindow=1&amp;tbm=isch","Еще фото")</f>
        <v>Еще фото</v>
      </c>
      <c r="F2910" s="13"/>
      <c r="G2910" s="24" t="s">
        <v>2788</v>
      </c>
      <c r="H2910" s="24" t="s">
        <v>27</v>
      </c>
      <c r="I2910" s="24" t="s">
        <v>2784</v>
      </c>
      <c r="J2910" s="14" t="s">
        <v>29</v>
      </c>
      <c r="K2910" s="15" t="s">
        <v>64</v>
      </c>
      <c r="L2910" s="57"/>
      <c r="M2910" s="14"/>
      <c r="N2910" s="14" t="s">
        <v>33</v>
      </c>
      <c r="O2910" s="14"/>
      <c r="P2910" s="15" t="s">
        <v>2601</v>
      </c>
      <c r="Q2910" s="16">
        <v>4599</v>
      </c>
      <c r="R2910" s="17">
        <v>40</v>
      </c>
      <c r="S2910" s="18">
        <v>3173.31</v>
      </c>
      <c r="T2910" s="19" t="s">
        <v>36</v>
      </c>
      <c r="U2910" s="20" t="s">
        <v>37</v>
      </c>
      <c r="V2910" s="21" t="s">
        <v>86</v>
      </c>
      <c r="W2910" s="22">
        <v>1</v>
      </c>
      <c r="X2910" s="23"/>
    </row>
    <row r="2911" spans="1:24" s="1" customFormat="1" ht="26.1" customHeight="1" x14ac:dyDescent="0.3">
      <c r="A2911" s="24" t="s">
        <v>23</v>
      </c>
      <c r="B2911" s="24" t="s">
        <v>3233</v>
      </c>
      <c r="C2911" s="12" t="s">
        <v>3234</v>
      </c>
      <c r="D2911" s="54"/>
      <c r="E2911" s="39" t="str">
        <f>HYPERLINK("https://www.google.ru/search?q=6009534-001&amp;newwindow=1&amp;tbm=isch","Еще фото")</f>
        <v>Еще фото</v>
      </c>
      <c r="F2911" s="13"/>
      <c r="G2911" s="24" t="s">
        <v>2788</v>
      </c>
      <c r="H2911" s="24" t="s">
        <v>27</v>
      </c>
      <c r="I2911" s="24" t="s">
        <v>2784</v>
      </c>
      <c r="J2911" s="14" t="s">
        <v>29</v>
      </c>
      <c r="K2911" s="15" t="s">
        <v>64</v>
      </c>
      <c r="L2911" s="57"/>
      <c r="M2911" s="14"/>
      <c r="N2911" s="14" t="s">
        <v>33</v>
      </c>
      <c r="O2911" s="14"/>
      <c r="P2911" s="15" t="s">
        <v>2601</v>
      </c>
      <c r="Q2911" s="16">
        <v>4599</v>
      </c>
      <c r="R2911" s="17">
        <v>40</v>
      </c>
      <c r="S2911" s="18">
        <v>3173.31</v>
      </c>
      <c r="T2911" s="19" t="s">
        <v>36</v>
      </c>
      <c r="U2911" s="20" t="s">
        <v>39</v>
      </c>
      <c r="V2911" s="21" t="s">
        <v>38</v>
      </c>
      <c r="W2911" s="22">
        <v>4</v>
      </c>
      <c r="X2911" s="23"/>
    </row>
    <row r="2912" spans="1:24" s="1" customFormat="1" ht="26.1" customHeight="1" x14ac:dyDescent="0.3">
      <c r="A2912" s="24" t="s">
        <v>23</v>
      </c>
      <c r="B2912" s="24" t="s">
        <v>3233</v>
      </c>
      <c r="C2912" s="12" t="s">
        <v>3234</v>
      </c>
      <c r="D2912" s="55"/>
      <c r="E2912" s="39" t="str">
        <f>HYPERLINK("https://www.google.ru/search?q=6009534-001&amp;newwindow=1&amp;tbm=isch","Еще фото")</f>
        <v>Еще фото</v>
      </c>
      <c r="F2912" s="13"/>
      <c r="G2912" s="24" t="s">
        <v>2788</v>
      </c>
      <c r="H2912" s="24" t="s">
        <v>27</v>
      </c>
      <c r="I2912" s="24" t="s">
        <v>2784</v>
      </c>
      <c r="J2912" s="14" t="s">
        <v>29</v>
      </c>
      <c r="K2912" s="15" t="s">
        <v>64</v>
      </c>
      <c r="L2912" s="58"/>
      <c r="M2912" s="14"/>
      <c r="N2912" s="14" t="s">
        <v>33</v>
      </c>
      <c r="O2912" s="14"/>
      <c r="P2912" s="15" t="s">
        <v>2601</v>
      </c>
      <c r="Q2912" s="16">
        <v>4599</v>
      </c>
      <c r="R2912" s="17">
        <v>40</v>
      </c>
      <c r="S2912" s="18">
        <v>3173.31</v>
      </c>
      <c r="T2912" s="19" t="s">
        <v>36</v>
      </c>
      <c r="U2912" s="20" t="s">
        <v>41</v>
      </c>
      <c r="V2912" s="21" t="s">
        <v>40</v>
      </c>
      <c r="W2912" s="22">
        <v>3</v>
      </c>
      <c r="X2912" s="23"/>
    </row>
    <row r="2913" spans="1:24" s="1" customFormat="1" ht="26.1" customHeight="1" x14ac:dyDescent="0.3">
      <c r="A2913" s="11" t="s">
        <v>23</v>
      </c>
      <c r="B2913" s="11" t="s">
        <v>3233</v>
      </c>
      <c r="C2913" s="12" t="s">
        <v>3236</v>
      </c>
      <c r="D2913" s="53"/>
      <c r="E2913" s="39" t="str">
        <f>HYPERLINK("https://www.google.ru/search?q=6009534-023&amp;newwindow=1&amp;tbm=isch","Еще фото")</f>
        <v>Еще фото</v>
      </c>
      <c r="F2913" s="13"/>
      <c r="G2913" s="11" t="s">
        <v>2788</v>
      </c>
      <c r="H2913" s="11" t="s">
        <v>27</v>
      </c>
      <c r="I2913" s="14" t="s">
        <v>2784</v>
      </c>
      <c r="J2913" s="14" t="s">
        <v>29</v>
      </c>
      <c r="K2913" s="15" t="s">
        <v>64</v>
      </c>
      <c r="L2913" s="56" t="s">
        <v>3235</v>
      </c>
      <c r="M2913" s="14"/>
      <c r="N2913" s="14" t="s">
        <v>84</v>
      </c>
      <c r="O2913" s="14"/>
      <c r="P2913" s="15" t="s">
        <v>2601</v>
      </c>
      <c r="Q2913" s="16">
        <v>4599</v>
      </c>
      <c r="R2913" s="17">
        <v>40</v>
      </c>
      <c r="S2913" s="18">
        <v>3173.31</v>
      </c>
      <c r="T2913" s="19" t="s">
        <v>36</v>
      </c>
      <c r="U2913" s="20" t="s">
        <v>69</v>
      </c>
      <c r="V2913" s="21" t="s">
        <v>70</v>
      </c>
      <c r="W2913" s="22">
        <v>9</v>
      </c>
      <c r="X2913" s="23"/>
    </row>
    <row r="2914" spans="1:24" s="1" customFormat="1" ht="26.1" customHeight="1" x14ac:dyDescent="0.3">
      <c r="A2914" s="24" t="s">
        <v>23</v>
      </c>
      <c r="B2914" s="24" t="s">
        <v>3233</v>
      </c>
      <c r="C2914" s="12" t="s">
        <v>3236</v>
      </c>
      <c r="D2914" s="54"/>
      <c r="E2914" s="39" t="str">
        <f>HYPERLINK("https://www.google.ru/search?q=6009534-023&amp;newwindow=1&amp;tbm=isch","Еще фото")</f>
        <v>Еще фото</v>
      </c>
      <c r="F2914" s="13"/>
      <c r="G2914" s="24" t="s">
        <v>2788</v>
      </c>
      <c r="H2914" s="24" t="s">
        <v>27</v>
      </c>
      <c r="I2914" s="24" t="s">
        <v>2784</v>
      </c>
      <c r="J2914" s="14" t="s">
        <v>29</v>
      </c>
      <c r="K2914" s="15" t="s">
        <v>64</v>
      </c>
      <c r="L2914" s="57"/>
      <c r="M2914" s="14"/>
      <c r="N2914" s="14" t="s">
        <v>84</v>
      </c>
      <c r="O2914" s="14"/>
      <c r="P2914" s="15" t="s">
        <v>2601</v>
      </c>
      <c r="Q2914" s="16">
        <v>4599</v>
      </c>
      <c r="R2914" s="17">
        <v>40</v>
      </c>
      <c r="S2914" s="18">
        <v>3173.31</v>
      </c>
      <c r="T2914" s="19" t="s">
        <v>36</v>
      </c>
      <c r="U2914" s="20" t="s">
        <v>37</v>
      </c>
      <c r="V2914" s="21" t="s">
        <v>86</v>
      </c>
      <c r="W2914" s="22">
        <v>3</v>
      </c>
      <c r="X2914" s="23"/>
    </row>
    <row r="2915" spans="1:24" s="1" customFormat="1" ht="26.1" customHeight="1" x14ac:dyDescent="0.3">
      <c r="A2915" s="24" t="s">
        <v>23</v>
      </c>
      <c r="B2915" s="24" t="s">
        <v>3233</v>
      </c>
      <c r="C2915" s="12" t="s">
        <v>3236</v>
      </c>
      <c r="D2915" s="54"/>
      <c r="E2915" s="39" t="str">
        <f>HYPERLINK("https://www.google.ru/search?q=6009534-023&amp;newwindow=1&amp;tbm=isch","Еще фото")</f>
        <v>Еще фото</v>
      </c>
      <c r="F2915" s="13"/>
      <c r="G2915" s="24" t="s">
        <v>2788</v>
      </c>
      <c r="H2915" s="24" t="s">
        <v>27</v>
      </c>
      <c r="I2915" s="24" t="s">
        <v>2784</v>
      </c>
      <c r="J2915" s="14" t="s">
        <v>29</v>
      </c>
      <c r="K2915" s="15" t="s">
        <v>64</v>
      </c>
      <c r="L2915" s="57"/>
      <c r="M2915" s="14"/>
      <c r="N2915" s="14" t="s">
        <v>84</v>
      </c>
      <c r="O2915" s="14"/>
      <c r="P2915" s="15" t="s">
        <v>2601</v>
      </c>
      <c r="Q2915" s="16">
        <v>4599</v>
      </c>
      <c r="R2915" s="17">
        <v>40</v>
      </c>
      <c r="S2915" s="18">
        <v>3173.31</v>
      </c>
      <c r="T2915" s="19" t="s">
        <v>36</v>
      </c>
      <c r="U2915" s="20" t="s">
        <v>39</v>
      </c>
      <c r="V2915" s="21" t="s">
        <v>38</v>
      </c>
      <c r="W2915" s="22">
        <v>6</v>
      </c>
      <c r="X2915" s="23"/>
    </row>
    <row r="2916" spans="1:24" s="1" customFormat="1" ht="26.1" customHeight="1" x14ac:dyDescent="0.3">
      <c r="A2916" s="24" t="s">
        <v>23</v>
      </c>
      <c r="B2916" s="24" t="s">
        <v>3233</v>
      </c>
      <c r="C2916" s="12" t="s">
        <v>3236</v>
      </c>
      <c r="D2916" s="55"/>
      <c r="E2916" s="39" t="str">
        <f>HYPERLINK("https://www.google.ru/search?q=6009534-023&amp;newwindow=1&amp;tbm=isch","Еще фото")</f>
        <v>Еще фото</v>
      </c>
      <c r="F2916" s="13"/>
      <c r="G2916" s="24" t="s">
        <v>2788</v>
      </c>
      <c r="H2916" s="24" t="s">
        <v>27</v>
      </c>
      <c r="I2916" s="24" t="s">
        <v>2784</v>
      </c>
      <c r="J2916" s="14" t="s">
        <v>29</v>
      </c>
      <c r="K2916" s="15" t="s">
        <v>64</v>
      </c>
      <c r="L2916" s="58"/>
      <c r="M2916" s="14"/>
      <c r="N2916" s="14" t="s">
        <v>84</v>
      </c>
      <c r="O2916" s="14"/>
      <c r="P2916" s="15" t="s">
        <v>2601</v>
      </c>
      <c r="Q2916" s="16">
        <v>4599</v>
      </c>
      <c r="R2916" s="17">
        <v>40</v>
      </c>
      <c r="S2916" s="18">
        <v>3173.31</v>
      </c>
      <c r="T2916" s="19" t="s">
        <v>36</v>
      </c>
      <c r="U2916" s="20" t="s">
        <v>41</v>
      </c>
      <c r="V2916" s="21" t="s">
        <v>40</v>
      </c>
      <c r="W2916" s="22">
        <v>4</v>
      </c>
      <c r="X2916" s="23"/>
    </row>
    <row r="2917" spans="1:24" s="1" customFormat="1" ht="51.95" customHeight="1" x14ac:dyDescent="0.3">
      <c r="A2917" s="11" t="s">
        <v>23</v>
      </c>
      <c r="B2917" s="11" t="s">
        <v>3237</v>
      </c>
      <c r="C2917" s="12" t="s">
        <v>3238</v>
      </c>
      <c r="D2917" s="59"/>
      <c r="E2917" s="39" t="str">
        <f>HYPERLINK("https://www.google.ru/search?q=6009540-001&amp;newwindow=1&amp;tbm=isch","Еще фото")</f>
        <v>Еще фото</v>
      </c>
      <c r="F2917" s="13"/>
      <c r="G2917" s="11" t="s">
        <v>2788</v>
      </c>
      <c r="H2917" s="11" t="s">
        <v>27</v>
      </c>
      <c r="I2917" s="14" t="s">
        <v>2784</v>
      </c>
      <c r="J2917" s="14" t="s">
        <v>29</v>
      </c>
      <c r="K2917" s="15" t="s">
        <v>64</v>
      </c>
      <c r="L2917" s="56"/>
      <c r="M2917" s="14"/>
      <c r="N2917" s="14" t="s">
        <v>33</v>
      </c>
      <c r="O2917" s="14"/>
      <c r="P2917" s="15" t="s">
        <v>51</v>
      </c>
      <c r="Q2917" s="16">
        <v>3599</v>
      </c>
      <c r="R2917" s="17">
        <v>40</v>
      </c>
      <c r="S2917" s="18">
        <v>2483.31</v>
      </c>
      <c r="T2917" s="19" t="s">
        <v>36</v>
      </c>
      <c r="U2917" s="20" t="s">
        <v>39</v>
      </c>
      <c r="V2917" s="21" t="s">
        <v>38</v>
      </c>
      <c r="W2917" s="22">
        <v>2</v>
      </c>
      <c r="X2917" s="23"/>
    </row>
    <row r="2918" spans="1:24" s="1" customFormat="1" ht="60.95" customHeight="1" x14ac:dyDescent="0.3">
      <c r="A2918" s="24" t="s">
        <v>23</v>
      </c>
      <c r="B2918" s="24" t="s">
        <v>3237</v>
      </c>
      <c r="C2918" s="12" t="s">
        <v>3238</v>
      </c>
      <c r="D2918" s="60"/>
      <c r="E2918" s="39" t="str">
        <f>HYPERLINK("https://www.google.ru/search?q=6009540-001&amp;newwindow=1&amp;tbm=isch","Еще фото")</f>
        <v>Еще фото</v>
      </c>
      <c r="F2918" s="13"/>
      <c r="G2918" s="24" t="s">
        <v>2788</v>
      </c>
      <c r="H2918" s="24" t="s">
        <v>27</v>
      </c>
      <c r="I2918" s="24" t="s">
        <v>2784</v>
      </c>
      <c r="J2918" s="14" t="s">
        <v>29</v>
      </c>
      <c r="K2918" s="15" t="s">
        <v>64</v>
      </c>
      <c r="L2918" s="58"/>
      <c r="M2918" s="14"/>
      <c r="N2918" s="14" t="s">
        <v>33</v>
      </c>
      <c r="O2918" s="14"/>
      <c r="P2918" s="15" t="s">
        <v>51</v>
      </c>
      <c r="Q2918" s="16">
        <v>3599</v>
      </c>
      <c r="R2918" s="17">
        <v>40</v>
      </c>
      <c r="S2918" s="18">
        <v>2483.31</v>
      </c>
      <c r="T2918" s="19" t="s">
        <v>36</v>
      </c>
      <c r="U2918" s="20" t="s">
        <v>41</v>
      </c>
      <c r="V2918" s="21" t="s">
        <v>40</v>
      </c>
      <c r="W2918" s="22">
        <v>1</v>
      </c>
      <c r="X2918" s="23"/>
    </row>
    <row r="2919" spans="1:24" s="1" customFormat="1" ht="26.1" customHeight="1" x14ac:dyDescent="0.3">
      <c r="A2919" s="11" t="s">
        <v>23</v>
      </c>
      <c r="B2919" s="11" t="s">
        <v>3237</v>
      </c>
      <c r="C2919" s="12" t="s">
        <v>3239</v>
      </c>
      <c r="D2919" s="53"/>
      <c r="E2919" s="39" t="str">
        <f>HYPERLINK("https://www.google.ru/search?q=6009540-703&amp;newwindow=1&amp;tbm=isch","Еще фото")</f>
        <v>Еще фото</v>
      </c>
      <c r="F2919" s="13"/>
      <c r="G2919" s="11" t="s">
        <v>2788</v>
      </c>
      <c r="H2919" s="11" t="s">
        <v>27</v>
      </c>
      <c r="I2919" s="14" t="s">
        <v>2784</v>
      </c>
      <c r="J2919" s="14" t="s">
        <v>29</v>
      </c>
      <c r="K2919" s="15" t="s">
        <v>64</v>
      </c>
      <c r="L2919" s="56" t="s">
        <v>3240</v>
      </c>
      <c r="M2919" s="14"/>
      <c r="N2919" s="14" t="s">
        <v>50</v>
      </c>
      <c r="O2919" s="14"/>
      <c r="P2919" s="15" t="s">
        <v>51</v>
      </c>
      <c r="Q2919" s="16">
        <v>3599</v>
      </c>
      <c r="R2919" s="17">
        <v>40</v>
      </c>
      <c r="S2919" s="18">
        <v>2483.31</v>
      </c>
      <c r="T2919" s="19" t="s">
        <v>36</v>
      </c>
      <c r="U2919" s="20" t="s">
        <v>69</v>
      </c>
      <c r="V2919" s="21" t="s">
        <v>70</v>
      </c>
      <c r="W2919" s="22">
        <v>1</v>
      </c>
      <c r="X2919" s="23"/>
    </row>
    <row r="2920" spans="1:24" s="1" customFormat="1" ht="26.1" customHeight="1" x14ac:dyDescent="0.3">
      <c r="A2920" s="24" t="s">
        <v>23</v>
      </c>
      <c r="B2920" s="24" t="s">
        <v>3237</v>
      </c>
      <c r="C2920" s="12" t="s">
        <v>3239</v>
      </c>
      <c r="D2920" s="54"/>
      <c r="E2920" s="39" t="str">
        <f>HYPERLINK("https://www.google.ru/search?q=6009540-703&amp;newwindow=1&amp;tbm=isch","Еще фото")</f>
        <v>Еще фото</v>
      </c>
      <c r="F2920" s="13"/>
      <c r="G2920" s="24" t="s">
        <v>2788</v>
      </c>
      <c r="H2920" s="24" t="s">
        <v>27</v>
      </c>
      <c r="I2920" s="24" t="s">
        <v>2784</v>
      </c>
      <c r="J2920" s="14" t="s">
        <v>29</v>
      </c>
      <c r="K2920" s="15" t="s">
        <v>64</v>
      </c>
      <c r="L2920" s="57"/>
      <c r="M2920" s="14"/>
      <c r="N2920" s="14" t="s">
        <v>50</v>
      </c>
      <c r="O2920" s="14"/>
      <c r="P2920" s="15" t="s">
        <v>51</v>
      </c>
      <c r="Q2920" s="16">
        <v>3599</v>
      </c>
      <c r="R2920" s="17">
        <v>40</v>
      </c>
      <c r="S2920" s="18">
        <v>2483.31</v>
      </c>
      <c r="T2920" s="19" t="s">
        <v>36</v>
      </c>
      <c r="U2920" s="20" t="s">
        <v>37</v>
      </c>
      <c r="V2920" s="21" t="s">
        <v>86</v>
      </c>
      <c r="W2920" s="22">
        <v>1</v>
      </c>
      <c r="X2920" s="23"/>
    </row>
    <row r="2921" spans="1:24" s="1" customFormat="1" ht="26.1" customHeight="1" x14ac:dyDescent="0.3">
      <c r="A2921" s="24" t="s">
        <v>23</v>
      </c>
      <c r="B2921" s="24" t="s">
        <v>3237</v>
      </c>
      <c r="C2921" s="12" t="s">
        <v>3239</v>
      </c>
      <c r="D2921" s="54"/>
      <c r="E2921" s="39" t="str">
        <f>HYPERLINK("https://www.google.ru/search?q=6009540-703&amp;newwindow=1&amp;tbm=isch","Еще фото")</f>
        <v>Еще фото</v>
      </c>
      <c r="F2921" s="13"/>
      <c r="G2921" s="24" t="s">
        <v>2788</v>
      </c>
      <c r="H2921" s="24" t="s">
        <v>27</v>
      </c>
      <c r="I2921" s="24" t="s">
        <v>2784</v>
      </c>
      <c r="J2921" s="14" t="s">
        <v>29</v>
      </c>
      <c r="K2921" s="15" t="s">
        <v>64</v>
      </c>
      <c r="L2921" s="57"/>
      <c r="M2921" s="14"/>
      <c r="N2921" s="14" t="s">
        <v>50</v>
      </c>
      <c r="O2921" s="14"/>
      <c r="P2921" s="15" t="s">
        <v>51</v>
      </c>
      <c r="Q2921" s="16">
        <v>3599</v>
      </c>
      <c r="R2921" s="17">
        <v>40</v>
      </c>
      <c r="S2921" s="18">
        <v>2483.31</v>
      </c>
      <c r="T2921" s="19" t="s">
        <v>36</v>
      </c>
      <c r="U2921" s="20" t="s">
        <v>39</v>
      </c>
      <c r="V2921" s="21" t="s">
        <v>38</v>
      </c>
      <c r="W2921" s="22">
        <v>1</v>
      </c>
      <c r="X2921" s="23"/>
    </row>
    <row r="2922" spans="1:24" s="1" customFormat="1" ht="26.1" customHeight="1" x14ac:dyDescent="0.3">
      <c r="A2922" s="24" t="s">
        <v>23</v>
      </c>
      <c r="B2922" s="24" t="s">
        <v>3237</v>
      </c>
      <c r="C2922" s="12" t="s">
        <v>3239</v>
      </c>
      <c r="D2922" s="55"/>
      <c r="E2922" s="39" t="str">
        <f>HYPERLINK("https://www.google.ru/search?q=6009540-703&amp;newwindow=1&amp;tbm=isch","Еще фото")</f>
        <v>Еще фото</v>
      </c>
      <c r="F2922" s="13"/>
      <c r="G2922" s="24" t="s">
        <v>2788</v>
      </c>
      <c r="H2922" s="24" t="s">
        <v>27</v>
      </c>
      <c r="I2922" s="24" t="s">
        <v>2784</v>
      </c>
      <c r="J2922" s="14" t="s">
        <v>29</v>
      </c>
      <c r="K2922" s="15" t="s">
        <v>64</v>
      </c>
      <c r="L2922" s="58"/>
      <c r="M2922" s="14"/>
      <c r="N2922" s="14" t="s">
        <v>50</v>
      </c>
      <c r="O2922" s="14"/>
      <c r="P2922" s="15" t="s">
        <v>51</v>
      </c>
      <c r="Q2922" s="16">
        <v>3599</v>
      </c>
      <c r="R2922" s="17">
        <v>40</v>
      </c>
      <c r="S2922" s="18">
        <v>2483.31</v>
      </c>
      <c r="T2922" s="19" t="s">
        <v>36</v>
      </c>
      <c r="U2922" s="20" t="s">
        <v>41</v>
      </c>
      <c r="V2922" s="21" t="s">
        <v>40</v>
      </c>
      <c r="W2922" s="22">
        <v>4</v>
      </c>
      <c r="X2922" s="23"/>
    </row>
    <row r="2923" spans="1:24" s="1" customFormat="1" ht="21" customHeight="1" x14ac:dyDescent="0.3">
      <c r="A2923" s="11" t="s">
        <v>23</v>
      </c>
      <c r="B2923" s="11" t="s">
        <v>3237</v>
      </c>
      <c r="C2923" s="26" t="s">
        <v>3241</v>
      </c>
      <c r="D2923" s="53"/>
      <c r="E2923" s="39" t="str">
        <f>HYPERLINK("https://www.google.ru/search?q=6009540-824&amp;newwindow=1&amp;tbm=isch","Еще фото")</f>
        <v>Еще фото</v>
      </c>
      <c r="F2923" s="13" t="s">
        <v>98</v>
      </c>
      <c r="G2923" s="11" t="s">
        <v>2788</v>
      </c>
      <c r="H2923" s="11" t="s">
        <v>27</v>
      </c>
      <c r="I2923" s="14" t="s">
        <v>2784</v>
      </c>
      <c r="J2923" s="14" t="s">
        <v>29</v>
      </c>
      <c r="K2923" s="15" t="s">
        <v>64</v>
      </c>
      <c r="L2923" s="56" t="s">
        <v>3240</v>
      </c>
      <c r="M2923" s="14"/>
      <c r="N2923" s="14" t="s">
        <v>434</v>
      </c>
      <c r="O2923" s="14"/>
      <c r="P2923" s="15" t="s">
        <v>51</v>
      </c>
      <c r="Q2923" s="16">
        <v>3599</v>
      </c>
      <c r="R2923" s="17">
        <v>40</v>
      </c>
      <c r="S2923" s="18">
        <v>2483.31</v>
      </c>
      <c r="T2923" s="19" t="s">
        <v>36</v>
      </c>
      <c r="U2923" s="20" t="s">
        <v>69</v>
      </c>
      <c r="V2923" s="21" t="s">
        <v>70</v>
      </c>
      <c r="W2923" s="22">
        <v>6</v>
      </c>
      <c r="X2923" s="23"/>
    </row>
    <row r="2924" spans="1:24" s="1" customFormat="1" ht="21" customHeight="1" x14ac:dyDescent="0.3">
      <c r="A2924" s="24" t="s">
        <v>23</v>
      </c>
      <c r="B2924" s="24" t="s">
        <v>3237</v>
      </c>
      <c r="C2924" s="27" t="s">
        <v>3241</v>
      </c>
      <c r="D2924" s="54"/>
      <c r="E2924" s="39" t="str">
        <f>HYPERLINK("https://www.google.ru/search?q=6009540-824&amp;newwindow=1&amp;tbm=isch","Еще фото")</f>
        <v>Еще фото</v>
      </c>
      <c r="F2924" s="13" t="s">
        <v>98</v>
      </c>
      <c r="G2924" s="24" t="s">
        <v>2788</v>
      </c>
      <c r="H2924" s="24" t="s">
        <v>27</v>
      </c>
      <c r="I2924" s="24" t="s">
        <v>2784</v>
      </c>
      <c r="J2924" s="14" t="s">
        <v>29</v>
      </c>
      <c r="K2924" s="15" t="s">
        <v>64</v>
      </c>
      <c r="L2924" s="57"/>
      <c r="M2924" s="14"/>
      <c r="N2924" s="14" t="s">
        <v>434</v>
      </c>
      <c r="O2924" s="14"/>
      <c r="P2924" s="15" t="s">
        <v>51</v>
      </c>
      <c r="Q2924" s="16">
        <v>3599</v>
      </c>
      <c r="R2924" s="17">
        <v>40</v>
      </c>
      <c r="S2924" s="18">
        <v>2483.31</v>
      </c>
      <c r="T2924" s="19" t="s">
        <v>36</v>
      </c>
      <c r="U2924" s="20" t="s">
        <v>37</v>
      </c>
      <c r="V2924" s="21" t="s">
        <v>86</v>
      </c>
      <c r="W2924" s="22">
        <v>13</v>
      </c>
      <c r="X2924" s="23"/>
    </row>
    <row r="2925" spans="1:24" s="1" customFormat="1" ht="21" customHeight="1" x14ac:dyDescent="0.3">
      <c r="A2925" s="24" t="s">
        <v>23</v>
      </c>
      <c r="B2925" s="24" t="s">
        <v>3237</v>
      </c>
      <c r="C2925" s="27" t="s">
        <v>3241</v>
      </c>
      <c r="D2925" s="54"/>
      <c r="E2925" s="39" t="str">
        <f>HYPERLINK("https://www.google.ru/search?q=6009540-824&amp;newwindow=1&amp;tbm=isch","Еще фото")</f>
        <v>Еще фото</v>
      </c>
      <c r="F2925" s="13" t="s">
        <v>98</v>
      </c>
      <c r="G2925" s="24" t="s">
        <v>2788</v>
      </c>
      <c r="H2925" s="24" t="s">
        <v>27</v>
      </c>
      <c r="I2925" s="24" t="s">
        <v>2784</v>
      </c>
      <c r="J2925" s="14" t="s">
        <v>29</v>
      </c>
      <c r="K2925" s="15" t="s">
        <v>64</v>
      </c>
      <c r="L2925" s="57"/>
      <c r="M2925" s="14"/>
      <c r="N2925" s="14" t="s">
        <v>434</v>
      </c>
      <c r="O2925" s="14"/>
      <c r="P2925" s="15" t="s">
        <v>51</v>
      </c>
      <c r="Q2925" s="16">
        <v>3599</v>
      </c>
      <c r="R2925" s="17">
        <v>40</v>
      </c>
      <c r="S2925" s="18">
        <v>2483.31</v>
      </c>
      <c r="T2925" s="19" t="s">
        <v>36</v>
      </c>
      <c r="U2925" s="20" t="s">
        <v>39</v>
      </c>
      <c r="V2925" s="21" t="s">
        <v>38</v>
      </c>
      <c r="W2925" s="22">
        <v>8</v>
      </c>
      <c r="X2925" s="23"/>
    </row>
    <row r="2926" spans="1:24" s="1" customFormat="1" ht="21" customHeight="1" x14ac:dyDescent="0.3">
      <c r="A2926" s="24" t="s">
        <v>23</v>
      </c>
      <c r="B2926" s="24" t="s">
        <v>3237</v>
      </c>
      <c r="C2926" s="27" t="s">
        <v>3241</v>
      </c>
      <c r="D2926" s="54"/>
      <c r="E2926" s="39" t="str">
        <f>HYPERLINK("https://www.google.ru/search?q=6009540-824&amp;newwindow=1&amp;tbm=isch","Еще фото")</f>
        <v>Еще фото</v>
      </c>
      <c r="F2926" s="13" t="s">
        <v>98</v>
      </c>
      <c r="G2926" s="24" t="s">
        <v>2788</v>
      </c>
      <c r="H2926" s="24" t="s">
        <v>27</v>
      </c>
      <c r="I2926" s="24" t="s">
        <v>2784</v>
      </c>
      <c r="J2926" s="14" t="s">
        <v>29</v>
      </c>
      <c r="K2926" s="15" t="s">
        <v>64</v>
      </c>
      <c r="L2926" s="57"/>
      <c r="M2926" s="14"/>
      <c r="N2926" s="14" t="s">
        <v>434</v>
      </c>
      <c r="O2926" s="14"/>
      <c r="P2926" s="15" t="s">
        <v>51</v>
      </c>
      <c r="Q2926" s="16">
        <v>3599</v>
      </c>
      <c r="R2926" s="17">
        <v>40</v>
      </c>
      <c r="S2926" s="18">
        <v>2483.31</v>
      </c>
      <c r="T2926" s="19" t="s">
        <v>36</v>
      </c>
      <c r="U2926" s="20" t="s">
        <v>41</v>
      </c>
      <c r="V2926" s="21" t="s">
        <v>40</v>
      </c>
      <c r="W2926" s="22">
        <v>16</v>
      </c>
      <c r="X2926" s="23"/>
    </row>
    <row r="2927" spans="1:24" s="1" customFormat="1" ht="32.1" customHeight="1" x14ac:dyDescent="0.3">
      <c r="A2927" s="24" t="s">
        <v>23</v>
      </c>
      <c r="B2927" s="24" t="s">
        <v>3237</v>
      </c>
      <c r="C2927" s="27" t="s">
        <v>3241</v>
      </c>
      <c r="D2927" s="55"/>
      <c r="E2927" s="39" t="str">
        <f>HYPERLINK("https://www.google.ru/search?q=6009540-824&amp;newwindow=1&amp;tbm=isch","Еще фото")</f>
        <v>Еще фото</v>
      </c>
      <c r="F2927" s="13" t="s">
        <v>98</v>
      </c>
      <c r="G2927" s="24" t="s">
        <v>2788</v>
      </c>
      <c r="H2927" s="24" t="s">
        <v>27</v>
      </c>
      <c r="I2927" s="24" t="s">
        <v>2784</v>
      </c>
      <c r="J2927" s="14" t="s">
        <v>29</v>
      </c>
      <c r="K2927" s="15" t="s">
        <v>64</v>
      </c>
      <c r="L2927" s="58"/>
      <c r="M2927" s="14"/>
      <c r="N2927" s="14" t="s">
        <v>434</v>
      </c>
      <c r="O2927" s="14"/>
      <c r="P2927" s="15" t="s">
        <v>51</v>
      </c>
      <c r="Q2927" s="16">
        <v>3599</v>
      </c>
      <c r="R2927" s="17">
        <v>40</v>
      </c>
      <c r="S2927" s="18">
        <v>2483.31</v>
      </c>
      <c r="T2927" s="19" t="s">
        <v>36</v>
      </c>
      <c r="U2927" s="20" t="s">
        <v>43</v>
      </c>
      <c r="V2927" s="21" t="s">
        <v>42</v>
      </c>
      <c r="W2927" s="22">
        <v>4</v>
      </c>
      <c r="X2927" s="23"/>
    </row>
    <row r="2928" spans="1:24" s="1" customFormat="1" ht="21" customHeight="1" x14ac:dyDescent="0.3">
      <c r="A2928" s="11" t="s">
        <v>23</v>
      </c>
      <c r="B2928" s="11" t="s">
        <v>3242</v>
      </c>
      <c r="C2928" s="26" t="s">
        <v>3243</v>
      </c>
      <c r="D2928" s="53"/>
      <c r="E2928" s="39" t="str">
        <f>HYPERLINK("https://www.google.ru/search?q=6009541-712&amp;newwindow=1&amp;tbm=isch","Еще фото")</f>
        <v>Еще фото</v>
      </c>
      <c r="F2928" s="13"/>
      <c r="G2928" s="11" t="s">
        <v>2862</v>
      </c>
      <c r="H2928" s="11" t="s">
        <v>27</v>
      </c>
      <c r="I2928" s="14" t="s">
        <v>2784</v>
      </c>
      <c r="J2928" s="14" t="s">
        <v>29</v>
      </c>
      <c r="K2928" s="15" t="s">
        <v>64</v>
      </c>
      <c r="L2928" s="56" t="s">
        <v>3244</v>
      </c>
      <c r="M2928" s="14"/>
      <c r="N2928" s="14" t="s">
        <v>125</v>
      </c>
      <c r="O2928" s="14"/>
      <c r="P2928" s="15" t="s">
        <v>51</v>
      </c>
      <c r="Q2928" s="16">
        <v>3399</v>
      </c>
      <c r="R2928" s="17">
        <v>40</v>
      </c>
      <c r="S2928" s="18">
        <v>2345.31</v>
      </c>
      <c r="T2928" s="19" t="s">
        <v>36</v>
      </c>
      <c r="U2928" s="20" t="s">
        <v>69</v>
      </c>
      <c r="V2928" s="21" t="s">
        <v>70</v>
      </c>
      <c r="W2928" s="22">
        <v>4</v>
      </c>
      <c r="X2928" s="23"/>
    </row>
    <row r="2929" spans="1:24" s="1" customFormat="1" ht="21" customHeight="1" x14ac:dyDescent="0.3">
      <c r="A2929" s="24" t="s">
        <v>23</v>
      </c>
      <c r="B2929" s="24" t="s">
        <v>3242</v>
      </c>
      <c r="C2929" s="27" t="s">
        <v>3243</v>
      </c>
      <c r="D2929" s="54"/>
      <c r="E2929" s="39" t="str">
        <f>HYPERLINK("https://www.google.ru/search?q=6009541-712&amp;newwindow=1&amp;tbm=isch","Еще фото")</f>
        <v>Еще фото</v>
      </c>
      <c r="F2929" s="13"/>
      <c r="G2929" s="24" t="s">
        <v>2862</v>
      </c>
      <c r="H2929" s="24" t="s">
        <v>27</v>
      </c>
      <c r="I2929" s="24" t="s">
        <v>2784</v>
      </c>
      <c r="J2929" s="14" t="s">
        <v>29</v>
      </c>
      <c r="K2929" s="15" t="s">
        <v>64</v>
      </c>
      <c r="L2929" s="57"/>
      <c r="M2929" s="14"/>
      <c r="N2929" s="14" t="s">
        <v>125</v>
      </c>
      <c r="O2929" s="14"/>
      <c r="P2929" s="15" t="s">
        <v>51</v>
      </c>
      <c r="Q2929" s="16">
        <v>3399</v>
      </c>
      <c r="R2929" s="17">
        <v>40</v>
      </c>
      <c r="S2929" s="18">
        <v>2345.31</v>
      </c>
      <c r="T2929" s="19" t="s">
        <v>36</v>
      </c>
      <c r="U2929" s="20" t="s">
        <v>37</v>
      </c>
      <c r="V2929" s="21" t="s">
        <v>86</v>
      </c>
      <c r="W2929" s="22">
        <v>6</v>
      </c>
      <c r="X2929" s="23"/>
    </row>
    <row r="2930" spans="1:24" s="1" customFormat="1" ht="21" customHeight="1" x14ac:dyDescent="0.3">
      <c r="A2930" s="24" t="s">
        <v>23</v>
      </c>
      <c r="B2930" s="24" t="s">
        <v>3242</v>
      </c>
      <c r="C2930" s="27" t="s">
        <v>3243</v>
      </c>
      <c r="D2930" s="54"/>
      <c r="E2930" s="39" t="str">
        <f>HYPERLINK("https://www.google.ru/search?q=6009541-712&amp;newwindow=1&amp;tbm=isch","Еще фото")</f>
        <v>Еще фото</v>
      </c>
      <c r="F2930" s="13"/>
      <c r="G2930" s="24" t="s">
        <v>2862</v>
      </c>
      <c r="H2930" s="24" t="s">
        <v>27</v>
      </c>
      <c r="I2930" s="24" t="s">
        <v>2784</v>
      </c>
      <c r="J2930" s="14" t="s">
        <v>29</v>
      </c>
      <c r="K2930" s="15" t="s">
        <v>64</v>
      </c>
      <c r="L2930" s="57"/>
      <c r="M2930" s="14"/>
      <c r="N2930" s="14" t="s">
        <v>125</v>
      </c>
      <c r="O2930" s="14"/>
      <c r="P2930" s="15" t="s">
        <v>51</v>
      </c>
      <c r="Q2930" s="16">
        <v>3399</v>
      </c>
      <c r="R2930" s="17">
        <v>40</v>
      </c>
      <c r="S2930" s="18">
        <v>2345.31</v>
      </c>
      <c r="T2930" s="19" t="s">
        <v>36</v>
      </c>
      <c r="U2930" s="20" t="s">
        <v>39</v>
      </c>
      <c r="V2930" s="21" t="s">
        <v>38</v>
      </c>
      <c r="W2930" s="22">
        <v>10</v>
      </c>
      <c r="X2930" s="23"/>
    </row>
    <row r="2931" spans="1:24" s="1" customFormat="1" ht="21" customHeight="1" x14ac:dyDescent="0.3">
      <c r="A2931" s="24" t="s">
        <v>23</v>
      </c>
      <c r="B2931" s="24" t="s">
        <v>3242</v>
      </c>
      <c r="C2931" s="27" t="s">
        <v>3243</v>
      </c>
      <c r="D2931" s="54"/>
      <c r="E2931" s="39" t="str">
        <f>HYPERLINK("https://www.google.ru/search?q=6009541-712&amp;newwindow=1&amp;tbm=isch","Еще фото")</f>
        <v>Еще фото</v>
      </c>
      <c r="F2931" s="13"/>
      <c r="G2931" s="24" t="s">
        <v>2862</v>
      </c>
      <c r="H2931" s="24" t="s">
        <v>27</v>
      </c>
      <c r="I2931" s="24" t="s">
        <v>2784</v>
      </c>
      <c r="J2931" s="14" t="s">
        <v>29</v>
      </c>
      <c r="K2931" s="15" t="s">
        <v>64</v>
      </c>
      <c r="L2931" s="57"/>
      <c r="M2931" s="14"/>
      <c r="N2931" s="14" t="s">
        <v>125</v>
      </c>
      <c r="O2931" s="14"/>
      <c r="P2931" s="15" t="s">
        <v>51</v>
      </c>
      <c r="Q2931" s="16">
        <v>3399</v>
      </c>
      <c r="R2931" s="17">
        <v>40</v>
      </c>
      <c r="S2931" s="18">
        <v>2345.31</v>
      </c>
      <c r="T2931" s="19" t="s">
        <v>36</v>
      </c>
      <c r="U2931" s="20" t="s">
        <v>41</v>
      </c>
      <c r="V2931" s="21" t="s">
        <v>40</v>
      </c>
      <c r="W2931" s="22">
        <v>9</v>
      </c>
      <c r="X2931" s="23"/>
    </row>
    <row r="2932" spans="1:24" s="1" customFormat="1" ht="32.1" customHeight="1" x14ac:dyDescent="0.3">
      <c r="A2932" s="24" t="s">
        <v>23</v>
      </c>
      <c r="B2932" s="24" t="s">
        <v>3242</v>
      </c>
      <c r="C2932" s="27" t="s">
        <v>3243</v>
      </c>
      <c r="D2932" s="55"/>
      <c r="E2932" s="39" t="str">
        <f>HYPERLINK("https://www.google.ru/search?q=6009541-712&amp;newwindow=1&amp;tbm=isch","Еще фото")</f>
        <v>Еще фото</v>
      </c>
      <c r="F2932" s="13"/>
      <c r="G2932" s="24" t="s">
        <v>2862</v>
      </c>
      <c r="H2932" s="24" t="s">
        <v>27</v>
      </c>
      <c r="I2932" s="24" t="s">
        <v>2784</v>
      </c>
      <c r="J2932" s="14" t="s">
        <v>29</v>
      </c>
      <c r="K2932" s="15" t="s">
        <v>64</v>
      </c>
      <c r="L2932" s="58"/>
      <c r="M2932" s="14"/>
      <c r="N2932" s="14" t="s">
        <v>125</v>
      </c>
      <c r="O2932" s="14"/>
      <c r="P2932" s="15" t="s">
        <v>51</v>
      </c>
      <c r="Q2932" s="16">
        <v>3399</v>
      </c>
      <c r="R2932" s="17">
        <v>40</v>
      </c>
      <c r="S2932" s="18">
        <v>2345.31</v>
      </c>
      <c r="T2932" s="19" t="s">
        <v>36</v>
      </c>
      <c r="U2932" s="20" t="s">
        <v>43</v>
      </c>
      <c r="V2932" s="21" t="s">
        <v>42</v>
      </c>
      <c r="W2932" s="22">
        <v>3</v>
      </c>
      <c r="X2932" s="23"/>
    </row>
    <row r="2933" spans="1:24" s="1" customFormat="1" ht="108" customHeight="1" x14ac:dyDescent="0.3">
      <c r="A2933" s="11" t="s">
        <v>23</v>
      </c>
      <c r="B2933" s="11" t="s">
        <v>3245</v>
      </c>
      <c r="C2933" s="12" t="s">
        <v>3246</v>
      </c>
      <c r="D2933" s="25"/>
      <c r="E2933" s="39" t="str">
        <f>HYPERLINK("https://www.google.ru/search?q=6009677-008&amp;newwindow=1&amp;tbm=isch","Еще фото")</f>
        <v>Еще фото</v>
      </c>
      <c r="F2933" s="13"/>
      <c r="G2933" s="11" t="s">
        <v>2788</v>
      </c>
      <c r="H2933" s="11" t="s">
        <v>27</v>
      </c>
      <c r="I2933" s="14" t="s">
        <v>2784</v>
      </c>
      <c r="J2933" s="14" t="s">
        <v>47</v>
      </c>
      <c r="K2933" s="15" t="s">
        <v>64</v>
      </c>
      <c r="L2933" s="14" t="s">
        <v>3247</v>
      </c>
      <c r="M2933" s="14"/>
      <c r="N2933" s="14" t="s">
        <v>33</v>
      </c>
      <c r="O2933" s="14"/>
      <c r="P2933" s="15" t="s">
        <v>2266</v>
      </c>
      <c r="Q2933" s="16">
        <v>3499</v>
      </c>
      <c r="R2933" s="17">
        <v>40</v>
      </c>
      <c r="S2933" s="18">
        <v>2414.31</v>
      </c>
      <c r="T2933" s="19" t="s">
        <v>36</v>
      </c>
      <c r="U2933" s="20" t="s">
        <v>41</v>
      </c>
      <c r="V2933" s="21" t="s">
        <v>40</v>
      </c>
      <c r="W2933" s="22">
        <v>2</v>
      </c>
      <c r="X2933" s="23"/>
    </row>
    <row r="2934" spans="1:24" s="1" customFormat="1" ht="21" customHeight="1" x14ac:dyDescent="0.3">
      <c r="A2934" s="11" t="s">
        <v>23</v>
      </c>
      <c r="B2934" s="11" t="s">
        <v>3248</v>
      </c>
      <c r="C2934" s="26" t="s">
        <v>3249</v>
      </c>
      <c r="D2934" s="53"/>
      <c r="E2934" s="39" t="str">
        <f>HYPERLINK("https://www.google.ru/search?q=6009719-014&amp;newwindow=1&amp;tbm=isch","Еще фото")</f>
        <v>Еще фото</v>
      </c>
      <c r="F2934" s="13"/>
      <c r="G2934" s="11" t="s">
        <v>2804</v>
      </c>
      <c r="H2934" s="11" t="s">
        <v>27</v>
      </c>
      <c r="I2934" s="14" t="s">
        <v>2784</v>
      </c>
      <c r="J2934" s="14" t="s">
        <v>212</v>
      </c>
      <c r="K2934" s="15" t="s">
        <v>30</v>
      </c>
      <c r="L2934" s="56" t="s">
        <v>3250</v>
      </c>
      <c r="M2934" s="14"/>
      <c r="N2934" s="14" t="s">
        <v>84</v>
      </c>
      <c r="O2934" s="14"/>
      <c r="P2934" s="15" t="s">
        <v>133</v>
      </c>
      <c r="Q2934" s="16">
        <v>8499</v>
      </c>
      <c r="R2934" s="17">
        <v>40</v>
      </c>
      <c r="S2934" s="18">
        <v>5864.3099999999995</v>
      </c>
      <c r="T2934" s="19" t="s">
        <v>36</v>
      </c>
      <c r="U2934" s="20" t="s">
        <v>37</v>
      </c>
      <c r="V2934" s="21" t="s">
        <v>38</v>
      </c>
      <c r="W2934" s="22">
        <v>3</v>
      </c>
      <c r="X2934" s="23"/>
    </row>
    <row r="2935" spans="1:24" s="1" customFormat="1" ht="21" customHeight="1" x14ac:dyDescent="0.3">
      <c r="A2935" s="24" t="s">
        <v>23</v>
      </c>
      <c r="B2935" s="24" t="s">
        <v>3248</v>
      </c>
      <c r="C2935" s="27" t="s">
        <v>3249</v>
      </c>
      <c r="D2935" s="54"/>
      <c r="E2935" s="39" t="str">
        <f>HYPERLINK("https://www.google.ru/search?q=6009719-014&amp;newwindow=1&amp;tbm=isch","Еще фото")</f>
        <v>Еще фото</v>
      </c>
      <c r="F2935" s="13"/>
      <c r="G2935" s="24" t="s">
        <v>2804</v>
      </c>
      <c r="H2935" s="24" t="s">
        <v>27</v>
      </c>
      <c r="I2935" s="24" t="s">
        <v>2784</v>
      </c>
      <c r="J2935" s="14" t="s">
        <v>212</v>
      </c>
      <c r="K2935" s="15" t="s">
        <v>30</v>
      </c>
      <c r="L2935" s="57"/>
      <c r="M2935" s="14"/>
      <c r="N2935" s="14" t="s">
        <v>84</v>
      </c>
      <c r="O2935" s="14"/>
      <c r="P2935" s="15" t="s">
        <v>133</v>
      </c>
      <c r="Q2935" s="16">
        <v>8499</v>
      </c>
      <c r="R2935" s="17">
        <v>40</v>
      </c>
      <c r="S2935" s="18">
        <v>5864.3099999999995</v>
      </c>
      <c r="T2935" s="19" t="s">
        <v>36</v>
      </c>
      <c r="U2935" s="20" t="s">
        <v>39</v>
      </c>
      <c r="V2935" s="21" t="s">
        <v>40</v>
      </c>
      <c r="W2935" s="22">
        <v>19</v>
      </c>
      <c r="X2935" s="23"/>
    </row>
    <row r="2936" spans="1:24" s="1" customFormat="1" ht="21" customHeight="1" x14ac:dyDescent="0.3">
      <c r="A2936" s="24" t="s">
        <v>23</v>
      </c>
      <c r="B2936" s="24" t="s">
        <v>3248</v>
      </c>
      <c r="C2936" s="27" t="s">
        <v>3249</v>
      </c>
      <c r="D2936" s="54"/>
      <c r="E2936" s="39" t="str">
        <f>HYPERLINK("https://www.google.ru/search?q=6009719-014&amp;newwindow=1&amp;tbm=isch","Еще фото")</f>
        <v>Еще фото</v>
      </c>
      <c r="F2936" s="13"/>
      <c r="G2936" s="24" t="s">
        <v>2804</v>
      </c>
      <c r="H2936" s="24" t="s">
        <v>27</v>
      </c>
      <c r="I2936" s="24" t="s">
        <v>2784</v>
      </c>
      <c r="J2936" s="14" t="s">
        <v>212</v>
      </c>
      <c r="K2936" s="15" t="s">
        <v>30</v>
      </c>
      <c r="L2936" s="57"/>
      <c r="M2936" s="14"/>
      <c r="N2936" s="14" t="s">
        <v>84</v>
      </c>
      <c r="O2936" s="14"/>
      <c r="P2936" s="15" t="s">
        <v>133</v>
      </c>
      <c r="Q2936" s="16">
        <v>8499</v>
      </c>
      <c r="R2936" s="17">
        <v>40</v>
      </c>
      <c r="S2936" s="18">
        <v>5864.3099999999995</v>
      </c>
      <c r="T2936" s="19" t="s">
        <v>36</v>
      </c>
      <c r="U2936" s="20" t="s">
        <v>41</v>
      </c>
      <c r="V2936" s="21" t="s">
        <v>42</v>
      </c>
      <c r="W2936" s="22">
        <v>12</v>
      </c>
      <c r="X2936" s="23"/>
    </row>
    <row r="2937" spans="1:24" s="1" customFormat="1" ht="21" customHeight="1" x14ac:dyDescent="0.3">
      <c r="A2937" s="24" t="s">
        <v>23</v>
      </c>
      <c r="B2937" s="24" t="s">
        <v>3248</v>
      </c>
      <c r="C2937" s="27" t="s">
        <v>3249</v>
      </c>
      <c r="D2937" s="54"/>
      <c r="E2937" s="39" t="str">
        <f>HYPERLINK("https://www.google.ru/search?q=6009719-014&amp;newwindow=1&amp;tbm=isch","Еще фото")</f>
        <v>Еще фото</v>
      </c>
      <c r="F2937" s="13"/>
      <c r="G2937" s="24" t="s">
        <v>2804</v>
      </c>
      <c r="H2937" s="24" t="s">
        <v>27</v>
      </c>
      <c r="I2937" s="24" t="s">
        <v>2784</v>
      </c>
      <c r="J2937" s="14" t="s">
        <v>212</v>
      </c>
      <c r="K2937" s="15" t="s">
        <v>30</v>
      </c>
      <c r="L2937" s="57"/>
      <c r="M2937" s="14"/>
      <c r="N2937" s="14" t="s">
        <v>84</v>
      </c>
      <c r="O2937" s="14"/>
      <c r="P2937" s="15" t="s">
        <v>133</v>
      </c>
      <c r="Q2937" s="16">
        <v>8499</v>
      </c>
      <c r="R2937" s="17">
        <v>40</v>
      </c>
      <c r="S2937" s="18">
        <v>5864.3099999999995</v>
      </c>
      <c r="T2937" s="19" t="s">
        <v>36</v>
      </c>
      <c r="U2937" s="20" t="s">
        <v>43</v>
      </c>
      <c r="V2937" s="21" t="s">
        <v>44</v>
      </c>
      <c r="W2937" s="22">
        <v>10</v>
      </c>
      <c r="X2937" s="23"/>
    </row>
    <row r="2938" spans="1:24" s="1" customFormat="1" ht="32.1" customHeight="1" x14ac:dyDescent="0.3">
      <c r="A2938" s="24" t="s">
        <v>23</v>
      </c>
      <c r="B2938" s="24" t="s">
        <v>3248</v>
      </c>
      <c r="C2938" s="27" t="s">
        <v>3249</v>
      </c>
      <c r="D2938" s="55"/>
      <c r="E2938" s="39" t="str">
        <f>HYPERLINK("https://www.google.ru/search?q=6009719-014&amp;newwindow=1&amp;tbm=isch","Еще фото")</f>
        <v>Еще фото</v>
      </c>
      <c r="F2938" s="13"/>
      <c r="G2938" s="24" t="s">
        <v>2804</v>
      </c>
      <c r="H2938" s="24" t="s">
        <v>27</v>
      </c>
      <c r="I2938" s="24" t="s">
        <v>2784</v>
      </c>
      <c r="J2938" s="14" t="s">
        <v>212</v>
      </c>
      <c r="K2938" s="15" t="s">
        <v>30</v>
      </c>
      <c r="L2938" s="58"/>
      <c r="M2938" s="14"/>
      <c r="N2938" s="14" t="s">
        <v>84</v>
      </c>
      <c r="O2938" s="14"/>
      <c r="P2938" s="15" t="s">
        <v>133</v>
      </c>
      <c r="Q2938" s="16">
        <v>8499</v>
      </c>
      <c r="R2938" s="17">
        <v>40</v>
      </c>
      <c r="S2938" s="18">
        <v>5864.3099999999995</v>
      </c>
      <c r="T2938" s="19" t="s">
        <v>36</v>
      </c>
      <c r="U2938" s="20" t="s">
        <v>104</v>
      </c>
      <c r="V2938" s="21" t="s">
        <v>105</v>
      </c>
      <c r="W2938" s="22">
        <v>3</v>
      </c>
      <c r="X2938" s="23"/>
    </row>
    <row r="2939" spans="1:24" s="1" customFormat="1" ht="51.95" customHeight="1" x14ac:dyDescent="0.3">
      <c r="A2939" s="11" t="s">
        <v>23</v>
      </c>
      <c r="B2939" s="11" t="s">
        <v>3251</v>
      </c>
      <c r="C2939" s="12" t="s">
        <v>3252</v>
      </c>
      <c r="D2939" s="59"/>
      <c r="E2939" s="39" t="str">
        <f>HYPERLINK("https://www.google.ru/search?q=6009724-001&amp;newwindow=1&amp;tbm=isch","Еще фото")</f>
        <v>Еще фото</v>
      </c>
      <c r="F2939" s="13"/>
      <c r="G2939" s="11" t="s">
        <v>2804</v>
      </c>
      <c r="H2939" s="11" t="s">
        <v>27</v>
      </c>
      <c r="I2939" s="14" t="s">
        <v>2784</v>
      </c>
      <c r="J2939" s="14" t="s">
        <v>212</v>
      </c>
      <c r="K2939" s="15" t="s">
        <v>30</v>
      </c>
      <c r="L2939" s="56" t="s">
        <v>3253</v>
      </c>
      <c r="M2939" s="14"/>
      <c r="N2939" s="14" t="s">
        <v>410</v>
      </c>
      <c r="O2939" s="14"/>
      <c r="P2939" s="15" t="s">
        <v>3254</v>
      </c>
      <c r="Q2939" s="16">
        <v>8099</v>
      </c>
      <c r="R2939" s="17">
        <v>40</v>
      </c>
      <c r="S2939" s="18">
        <v>5588.3099999999995</v>
      </c>
      <c r="T2939" s="19" t="s">
        <v>36</v>
      </c>
      <c r="U2939" s="20" t="s">
        <v>39</v>
      </c>
      <c r="V2939" s="21" t="s">
        <v>40</v>
      </c>
      <c r="W2939" s="22">
        <v>4</v>
      </c>
      <c r="X2939" s="23"/>
    </row>
    <row r="2940" spans="1:24" s="1" customFormat="1" ht="60.95" customHeight="1" x14ac:dyDescent="0.3">
      <c r="A2940" s="24" t="s">
        <v>23</v>
      </c>
      <c r="B2940" s="24" t="s">
        <v>3251</v>
      </c>
      <c r="C2940" s="12" t="s">
        <v>3252</v>
      </c>
      <c r="D2940" s="60"/>
      <c r="E2940" s="39" t="str">
        <f>HYPERLINK("https://www.google.ru/search?q=6009724-001&amp;newwindow=1&amp;tbm=isch","Еще фото")</f>
        <v>Еще фото</v>
      </c>
      <c r="F2940" s="13"/>
      <c r="G2940" s="24" t="s">
        <v>2804</v>
      </c>
      <c r="H2940" s="24" t="s">
        <v>27</v>
      </c>
      <c r="I2940" s="24" t="s">
        <v>2784</v>
      </c>
      <c r="J2940" s="14" t="s">
        <v>212</v>
      </c>
      <c r="K2940" s="15" t="s">
        <v>30</v>
      </c>
      <c r="L2940" s="58"/>
      <c r="M2940" s="14"/>
      <c r="N2940" s="14" t="s">
        <v>410</v>
      </c>
      <c r="O2940" s="14"/>
      <c r="P2940" s="15" t="s">
        <v>3254</v>
      </c>
      <c r="Q2940" s="16">
        <v>8099</v>
      </c>
      <c r="R2940" s="17">
        <v>40</v>
      </c>
      <c r="S2940" s="18">
        <v>5588.3099999999995</v>
      </c>
      <c r="T2940" s="19" t="s">
        <v>36</v>
      </c>
      <c r="U2940" s="20" t="s">
        <v>43</v>
      </c>
      <c r="V2940" s="21" t="s">
        <v>44</v>
      </c>
      <c r="W2940" s="22">
        <v>1</v>
      </c>
      <c r="X2940" s="23"/>
    </row>
    <row r="2941" spans="1:24" s="1" customFormat="1" ht="35.1" customHeight="1" x14ac:dyDescent="0.3">
      <c r="A2941" s="11" t="s">
        <v>23</v>
      </c>
      <c r="B2941" s="11" t="s">
        <v>3251</v>
      </c>
      <c r="C2941" s="12" t="s">
        <v>3255</v>
      </c>
      <c r="D2941" s="53"/>
      <c r="E2941" s="39" t="str">
        <f>HYPERLINK("https://www.google.ru/search?q=6009724-100&amp;newwindow=1&amp;tbm=isch","Еще фото")</f>
        <v>Еще фото</v>
      </c>
      <c r="F2941" s="13"/>
      <c r="G2941" s="11" t="s">
        <v>2804</v>
      </c>
      <c r="H2941" s="11" t="s">
        <v>27</v>
      </c>
      <c r="I2941" s="14" t="s">
        <v>2784</v>
      </c>
      <c r="J2941" s="14" t="s">
        <v>212</v>
      </c>
      <c r="K2941" s="15" t="s">
        <v>30</v>
      </c>
      <c r="L2941" s="56"/>
      <c r="M2941" s="14"/>
      <c r="N2941" s="14" t="s">
        <v>74</v>
      </c>
      <c r="O2941" s="14"/>
      <c r="P2941" s="15" t="s">
        <v>3256</v>
      </c>
      <c r="Q2941" s="16">
        <v>8099</v>
      </c>
      <c r="R2941" s="17">
        <v>40</v>
      </c>
      <c r="S2941" s="18">
        <v>5588.3099999999995</v>
      </c>
      <c r="T2941" s="19" t="s">
        <v>36</v>
      </c>
      <c r="U2941" s="20" t="s">
        <v>37</v>
      </c>
      <c r="V2941" s="21" t="s">
        <v>38</v>
      </c>
      <c r="W2941" s="22">
        <v>3</v>
      </c>
      <c r="X2941" s="23"/>
    </row>
    <row r="2942" spans="1:24" s="1" customFormat="1" ht="35.1" customHeight="1" x14ac:dyDescent="0.3">
      <c r="A2942" s="24" t="s">
        <v>23</v>
      </c>
      <c r="B2942" s="24" t="s">
        <v>3251</v>
      </c>
      <c r="C2942" s="12" t="s">
        <v>3255</v>
      </c>
      <c r="D2942" s="54"/>
      <c r="E2942" s="39" t="str">
        <f>HYPERLINK("https://www.google.ru/search?q=6009724-100&amp;newwindow=1&amp;tbm=isch","Еще фото")</f>
        <v>Еще фото</v>
      </c>
      <c r="F2942" s="13"/>
      <c r="G2942" s="24" t="s">
        <v>2804</v>
      </c>
      <c r="H2942" s="24" t="s">
        <v>27</v>
      </c>
      <c r="I2942" s="24" t="s">
        <v>2784</v>
      </c>
      <c r="J2942" s="14" t="s">
        <v>212</v>
      </c>
      <c r="K2942" s="15" t="s">
        <v>30</v>
      </c>
      <c r="L2942" s="57"/>
      <c r="M2942" s="14"/>
      <c r="N2942" s="14" t="s">
        <v>74</v>
      </c>
      <c r="O2942" s="14"/>
      <c r="P2942" s="15" t="s">
        <v>3256</v>
      </c>
      <c r="Q2942" s="16">
        <v>8099</v>
      </c>
      <c r="R2942" s="17">
        <v>40</v>
      </c>
      <c r="S2942" s="18">
        <v>5588.3099999999995</v>
      </c>
      <c r="T2942" s="19" t="s">
        <v>36</v>
      </c>
      <c r="U2942" s="20" t="s">
        <v>39</v>
      </c>
      <c r="V2942" s="21" t="s">
        <v>40</v>
      </c>
      <c r="W2942" s="22">
        <v>11</v>
      </c>
      <c r="X2942" s="23"/>
    </row>
    <row r="2943" spans="1:24" s="1" customFormat="1" ht="36.950000000000003" customHeight="1" x14ac:dyDescent="0.3">
      <c r="A2943" s="24" t="s">
        <v>23</v>
      </c>
      <c r="B2943" s="24" t="s">
        <v>3251</v>
      </c>
      <c r="C2943" s="12" t="s">
        <v>3255</v>
      </c>
      <c r="D2943" s="55"/>
      <c r="E2943" s="39" t="str">
        <f>HYPERLINK("https://www.google.ru/search?q=6009724-100&amp;newwindow=1&amp;tbm=isch","Еще фото")</f>
        <v>Еще фото</v>
      </c>
      <c r="F2943" s="13"/>
      <c r="G2943" s="24" t="s">
        <v>2804</v>
      </c>
      <c r="H2943" s="24" t="s">
        <v>27</v>
      </c>
      <c r="I2943" s="24" t="s">
        <v>2784</v>
      </c>
      <c r="J2943" s="14" t="s">
        <v>212</v>
      </c>
      <c r="K2943" s="15" t="s">
        <v>30</v>
      </c>
      <c r="L2943" s="58"/>
      <c r="M2943" s="14"/>
      <c r="N2943" s="14" t="s">
        <v>74</v>
      </c>
      <c r="O2943" s="14"/>
      <c r="P2943" s="15" t="s">
        <v>3256</v>
      </c>
      <c r="Q2943" s="16">
        <v>8099</v>
      </c>
      <c r="R2943" s="17">
        <v>40</v>
      </c>
      <c r="S2943" s="18">
        <v>5588.3099999999995</v>
      </c>
      <c r="T2943" s="19" t="s">
        <v>36</v>
      </c>
      <c r="U2943" s="20" t="s">
        <v>41</v>
      </c>
      <c r="V2943" s="21" t="s">
        <v>42</v>
      </c>
      <c r="W2943" s="22">
        <v>8</v>
      </c>
      <c r="X2943" s="23"/>
    </row>
    <row r="2944" spans="1:24" s="1" customFormat="1" ht="26.1" customHeight="1" x14ac:dyDescent="0.3">
      <c r="A2944" s="11" t="s">
        <v>23</v>
      </c>
      <c r="B2944" s="11" t="s">
        <v>3251</v>
      </c>
      <c r="C2944" s="12" t="s">
        <v>3257</v>
      </c>
      <c r="D2944" s="53"/>
      <c r="E2944" s="39" t="str">
        <f>HYPERLINK("https://www.google.ru/search?q=6009724-411&amp;newwindow=1&amp;tbm=isch","Еще фото")</f>
        <v>Еще фото</v>
      </c>
      <c r="F2944" s="13"/>
      <c r="G2944" s="11" t="s">
        <v>2804</v>
      </c>
      <c r="H2944" s="11" t="s">
        <v>27</v>
      </c>
      <c r="I2944" s="14" t="s">
        <v>2784</v>
      </c>
      <c r="J2944" s="14" t="s">
        <v>212</v>
      </c>
      <c r="K2944" s="15" t="s">
        <v>30</v>
      </c>
      <c r="L2944" s="56" t="s">
        <v>3253</v>
      </c>
      <c r="M2944" s="14"/>
      <c r="N2944" s="14" t="s">
        <v>91</v>
      </c>
      <c r="O2944" s="14"/>
      <c r="P2944" s="15" t="s">
        <v>3254</v>
      </c>
      <c r="Q2944" s="16">
        <v>8099</v>
      </c>
      <c r="R2944" s="17">
        <v>40</v>
      </c>
      <c r="S2944" s="18">
        <v>5588.3099999999995</v>
      </c>
      <c r="T2944" s="19" t="s">
        <v>36</v>
      </c>
      <c r="U2944" s="20" t="s">
        <v>37</v>
      </c>
      <c r="V2944" s="21" t="s">
        <v>38</v>
      </c>
      <c r="W2944" s="22">
        <v>2</v>
      </c>
      <c r="X2944" s="23"/>
    </row>
    <row r="2945" spans="1:24" s="1" customFormat="1" ht="26.1" customHeight="1" x14ac:dyDescent="0.3">
      <c r="A2945" s="24" t="s">
        <v>23</v>
      </c>
      <c r="B2945" s="24" t="s">
        <v>3251</v>
      </c>
      <c r="C2945" s="12" t="s">
        <v>3257</v>
      </c>
      <c r="D2945" s="54"/>
      <c r="E2945" s="39" t="str">
        <f>HYPERLINK("https://www.google.ru/search?q=6009724-411&amp;newwindow=1&amp;tbm=isch","Еще фото")</f>
        <v>Еще фото</v>
      </c>
      <c r="F2945" s="13"/>
      <c r="G2945" s="24" t="s">
        <v>2804</v>
      </c>
      <c r="H2945" s="24" t="s">
        <v>27</v>
      </c>
      <c r="I2945" s="24" t="s">
        <v>2784</v>
      </c>
      <c r="J2945" s="14" t="s">
        <v>212</v>
      </c>
      <c r="K2945" s="15" t="s">
        <v>30</v>
      </c>
      <c r="L2945" s="57"/>
      <c r="M2945" s="14"/>
      <c r="N2945" s="14" t="s">
        <v>91</v>
      </c>
      <c r="O2945" s="14"/>
      <c r="P2945" s="15" t="s">
        <v>3254</v>
      </c>
      <c r="Q2945" s="16">
        <v>8099</v>
      </c>
      <c r="R2945" s="17">
        <v>40</v>
      </c>
      <c r="S2945" s="18">
        <v>5588.3099999999995</v>
      </c>
      <c r="T2945" s="19" t="s">
        <v>36</v>
      </c>
      <c r="U2945" s="20" t="s">
        <v>39</v>
      </c>
      <c r="V2945" s="21" t="s">
        <v>40</v>
      </c>
      <c r="W2945" s="22">
        <v>9</v>
      </c>
      <c r="X2945" s="23"/>
    </row>
    <row r="2946" spans="1:24" s="1" customFormat="1" ht="26.1" customHeight="1" x14ac:dyDescent="0.3">
      <c r="A2946" s="24" t="s">
        <v>23</v>
      </c>
      <c r="B2946" s="24" t="s">
        <v>3251</v>
      </c>
      <c r="C2946" s="12" t="s">
        <v>3257</v>
      </c>
      <c r="D2946" s="54"/>
      <c r="E2946" s="39" t="str">
        <f>HYPERLINK("https://www.google.ru/search?q=6009724-411&amp;newwindow=1&amp;tbm=isch","Еще фото")</f>
        <v>Еще фото</v>
      </c>
      <c r="F2946" s="13"/>
      <c r="G2946" s="24" t="s">
        <v>2804</v>
      </c>
      <c r="H2946" s="24" t="s">
        <v>27</v>
      </c>
      <c r="I2946" s="24" t="s">
        <v>2784</v>
      </c>
      <c r="J2946" s="14" t="s">
        <v>212</v>
      </c>
      <c r="K2946" s="15" t="s">
        <v>30</v>
      </c>
      <c r="L2946" s="57"/>
      <c r="M2946" s="14"/>
      <c r="N2946" s="14" t="s">
        <v>91</v>
      </c>
      <c r="O2946" s="14"/>
      <c r="P2946" s="15" t="s">
        <v>3254</v>
      </c>
      <c r="Q2946" s="16">
        <v>8099</v>
      </c>
      <c r="R2946" s="17">
        <v>40</v>
      </c>
      <c r="S2946" s="18">
        <v>5588.3099999999995</v>
      </c>
      <c r="T2946" s="19" t="s">
        <v>36</v>
      </c>
      <c r="U2946" s="20" t="s">
        <v>41</v>
      </c>
      <c r="V2946" s="21" t="s">
        <v>42</v>
      </c>
      <c r="W2946" s="22">
        <v>5</v>
      </c>
      <c r="X2946" s="23"/>
    </row>
    <row r="2947" spans="1:24" s="1" customFormat="1" ht="26.1" customHeight="1" x14ac:dyDescent="0.3">
      <c r="A2947" s="24" t="s">
        <v>23</v>
      </c>
      <c r="B2947" s="24" t="s">
        <v>3251</v>
      </c>
      <c r="C2947" s="12" t="s">
        <v>3257</v>
      </c>
      <c r="D2947" s="55"/>
      <c r="E2947" s="39" t="str">
        <f>HYPERLINK("https://www.google.ru/search?q=6009724-411&amp;newwindow=1&amp;tbm=isch","Еще фото")</f>
        <v>Еще фото</v>
      </c>
      <c r="F2947" s="13"/>
      <c r="G2947" s="24" t="s">
        <v>2804</v>
      </c>
      <c r="H2947" s="24" t="s">
        <v>27</v>
      </c>
      <c r="I2947" s="24" t="s">
        <v>2784</v>
      </c>
      <c r="J2947" s="14" t="s">
        <v>212</v>
      </c>
      <c r="K2947" s="15" t="s">
        <v>30</v>
      </c>
      <c r="L2947" s="58"/>
      <c r="M2947" s="14"/>
      <c r="N2947" s="14" t="s">
        <v>91</v>
      </c>
      <c r="O2947" s="14"/>
      <c r="P2947" s="15" t="s">
        <v>3254</v>
      </c>
      <c r="Q2947" s="16">
        <v>8099</v>
      </c>
      <c r="R2947" s="17">
        <v>40</v>
      </c>
      <c r="S2947" s="18">
        <v>5588.3099999999995</v>
      </c>
      <c r="T2947" s="19" t="s">
        <v>36</v>
      </c>
      <c r="U2947" s="20" t="s">
        <v>104</v>
      </c>
      <c r="V2947" s="21" t="s">
        <v>105</v>
      </c>
      <c r="W2947" s="22">
        <v>1</v>
      </c>
      <c r="X2947" s="23"/>
    </row>
    <row r="2948" spans="1:24" s="1" customFormat="1" ht="35.1" customHeight="1" x14ac:dyDescent="0.3">
      <c r="A2948" s="11" t="s">
        <v>23</v>
      </c>
      <c r="B2948" s="11" t="s">
        <v>3258</v>
      </c>
      <c r="C2948" s="12" t="s">
        <v>3259</v>
      </c>
      <c r="D2948" s="53"/>
      <c r="E2948" s="39" t="str">
        <f>HYPERLINK("https://www.google.ru/search?q=6009737-001&amp;newwindow=1&amp;tbm=isch","Еще фото")</f>
        <v>Еще фото</v>
      </c>
      <c r="F2948" s="13"/>
      <c r="G2948" s="11" t="s">
        <v>2804</v>
      </c>
      <c r="H2948" s="11" t="s">
        <v>27</v>
      </c>
      <c r="I2948" s="14" t="s">
        <v>2784</v>
      </c>
      <c r="J2948" s="14" t="s">
        <v>212</v>
      </c>
      <c r="K2948" s="15" t="s">
        <v>30</v>
      </c>
      <c r="L2948" s="56" t="s">
        <v>3260</v>
      </c>
      <c r="M2948" s="14"/>
      <c r="N2948" s="14" t="s">
        <v>33</v>
      </c>
      <c r="O2948" s="14"/>
      <c r="P2948" s="15" t="s">
        <v>133</v>
      </c>
      <c r="Q2948" s="16">
        <v>8299</v>
      </c>
      <c r="R2948" s="17">
        <v>40</v>
      </c>
      <c r="S2948" s="18">
        <v>5726.3099999999995</v>
      </c>
      <c r="T2948" s="19" t="s">
        <v>36</v>
      </c>
      <c r="U2948" s="20" t="s">
        <v>37</v>
      </c>
      <c r="V2948" s="21" t="s">
        <v>38</v>
      </c>
      <c r="W2948" s="22">
        <v>2</v>
      </c>
      <c r="X2948" s="23"/>
    </row>
    <row r="2949" spans="1:24" s="1" customFormat="1" ht="35.1" customHeight="1" x14ac:dyDescent="0.3">
      <c r="A2949" s="24" t="s">
        <v>23</v>
      </c>
      <c r="B2949" s="24" t="s">
        <v>3258</v>
      </c>
      <c r="C2949" s="12" t="s">
        <v>3259</v>
      </c>
      <c r="D2949" s="54"/>
      <c r="E2949" s="39" t="str">
        <f>HYPERLINK("https://www.google.ru/search?q=6009737-001&amp;newwindow=1&amp;tbm=isch","Еще фото")</f>
        <v>Еще фото</v>
      </c>
      <c r="F2949" s="13"/>
      <c r="G2949" s="24" t="s">
        <v>2804</v>
      </c>
      <c r="H2949" s="24" t="s">
        <v>27</v>
      </c>
      <c r="I2949" s="24" t="s">
        <v>2784</v>
      </c>
      <c r="J2949" s="14" t="s">
        <v>212</v>
      </c>
      <c r="K2949" s="15" t="s">
        <v>30</v>
      </c>
      <c r="L2949" s="57"/>
      <c r="M2949" s="14"/>
      <c r="N2949" s="14" t="s">
        <v>33</v>
      </c>
      <c r="O2949" s="14"/>
      <c r="P2949" s="15" t="s">
        <v>133</v>
      </c>
      <c r="Q2949" s="16">
        <v>8299</v>
      </c>
      <c r="R2949" s="17">
        <v>40</v>
      </c>
      <c r="S2949" s="18">
        <v>5726.3099999999995</v>
      </c>
      <c r="T2949" s="19" t="s">
        <v>36</v>
      </c>
      <c r="U2949" s="20" t="s">
        <v>39</v>
      </c>
      <c r="V2949" s="21" t="s">
        <v>40</v>
      </c>
      <c r="W2949" s="22">
        <v>6</v>
      </c>
      <c r="X2949" s="23"/>
    </row>
    <row r="2950" spans="1:24" s="1" customFormat="1" ht="36.950000000000003" customHeight="1" x14ac:dyDescent="0.3">
      <c r="A2950" s="24" t="s">
        <v>23</v>
      </c>
      <c r="B2950" s="24" t="s">
        <v>3258</v>
      </c>
      <c r="C2950" s="12" t="s">
        <v>3259</v>
      </c>
      <c r="D2950" s="55"/>
      <c r="E2950" s="39" t="str">
        <f>HYPERLINK("https://www.google.ru/search?q=6009737-001&amp;newwindow=1&amp;tbm=isch","Еще фото")</f>
        <v>Еще фото</v>
      </c>
      <c r="F2950" s="13"/>
      <c r="G2950" s="24" t="s">
        <v>2804</v>
      </c>
      <c r="H2950" s="24" t="s">
        <v>27</v>
      </c>
      <c r="I2950" s="24" t="s">
        <v>2784</v>
      </c>
      <c r="J2950" s="14" t="s">
        <v>212</v>
      </c>
      <c r="K2950" s="15" t="s">
        <v>30</v>
      </c>
      <c r="L2950" s="58"/>
      <c r="M2950" s="14"/>
      <c r="N2950" s="14" t="s">
        <v>33</v>
      </c>
      <c r="O2950" s="14"/>
      <c r="P2950" s="15" t="s">
        <v>133</v>
      </c>
      <c r="Q2950" s="16">
        <v>8299</v>
      </c>
      <c r="R2950" s="17">
        <v>40</v>
      </c>
      <c r="S2950" s="18">
        <v>5726.3099999999995</v>
      </c>
      <c r="T2950" s="19" t="s">
        <v>36</v>
      </c>
      <c r="U2950" s="20" t="s">
        <v>43</v>
      </c>
      <c r="V2950" s="21" t="s">
        <v>44</v>
      </c>
      <c r="W2950" s="22">
        <v>3</v>
      </c>
      <c r="X2950" s="23"/>
    </row>
    <row r="2951" spans="1:24" s="1" customFormat="1" ht="35.1" customHeight="1" x14ac:dyDescent="0.3">
      <c r="A2951" s="11" t="s">
        <v>23</v>
      </c>
      <c r="B2951" s="11" t="s">
        <v>3261</v>
      </c>
      <c r="C2951" s="12" t="s">
        <v>3262</v>
      </c>
      <c r="D2951" s="53"/>
      <c r="E2951" s="39" t="str">
        <f>HYPERLINK("https://www.google.ru/search?q=6009798-425&amp;newwindow=1&amp;tbm=isch","Еще фото")</f>
        <v>Еще фото</v>
      </c>
      <c r="F2951" s="13"/>
      <c r="G2951" s="11" t="s">
        <v>2804</v>
      </c>
      <c r="H2951" s="11" t="s">
        <v>27</v>
      </c>
      <c r="I2951" s="14" t="s">
        <v>2784</v>
      </c>
      <c r="J2951" s="14" t="s">
        <v>212</v>
      </c>
      <c r="K2951" s="15" t="s">
        <v>30</v>
      </c>
      <c r="L2951" s="56"/>
      <c r="M2951" s="14"/>
      <c r="N2951" s="14" t="s">
        <v>50</v>
      </c>
      <c r="O2951" s="14"/>
      <c r="P2951" s="15" t="s">
        <v>779</v>
      </c>
      <c r="Q2951" s="16">
        <v>6699</v>
      </c>
      <c r="R2951" s="17">
        <v>40</v>
      </c>
      <c r="S2951" s="18">
        <v>4622.3099999999995</v>
      </c>
      <c r="T2951" s="19" t="s">
        <v>36</v>
      </c>
      <c r="U2951" s="20" t="s">
        <v>37</v>
      </c>
      <c r="V2951" s="21" t="s">
        <v>38</v>
      </c>
      <c r="W2951" s="22">
        <v>2</v>
      </c>
      <c r="X2951" s="23"/>
    </row>
    <row r="2952" spans="1:24" s="1" customFormat="1" ht="35.1" customHeight="1" x14ac:dyDescent="0.3">
      <c r="A2952" s="24" t="s">
        <v>23</v>
      </c>
      <c r="B2952" s="24" t="s">
        <v>3261</v>
      </c>
      <c r="C2952" s="12" t="s">
        <v>3262</v>
      </c>
      <c r="D2952" s="54"/>
      <c r="E2952" s="39" t="str">
        <f>HYPERLINK("https://www.google.ru/search?q=6009798-425&amp;newwindow=1&amp;tbm=isch","Еще фото")</f>
        <v>Еще фото</v>
      </c>
      <c r="F2952" s="13"/>
      <c r="G2952" s="24" t="s">
        <v>2804</v>
      </c>
      <c r="H2952" s="24" t="s">
        <v>27</v>
      </c>
      <c r="I2952" s="24" t="s">
        <v>2784</v>
      </c>
      <c r="J2952" s="14" t="s">
        <v>212</v>
      </c>
      <c r="K2952" s="15" t="s">
        <v>30</v>
      </c>
      <c r="L2952" s="57"/>
      <c r="M2952" s="14"/>
      <c r="N2952" s="14" t="s">
        <v>50</v>
      </c>
      <c r="O2952" s="14"/>
      <c r="P2952" s="15" t="s">
        <v>779</v>
      </c>
      <c r="Q2952" s="16">
        <v>6699</v>
      </c>
      <c r="R2952" s="17">
        <v>40</v>
      </c>
      <c r="S2952" s="18">
        <v>4622.3099999999995</v>
      </c>
      <c r="T2952" s="19" t="s">
        <v>36</v>
      </c>
      <c r="U2952" s="20" t="s">
        <v>39</v>
      </c>
      <c r="V2952" s="21" t="s">
        <v>40</v>
      </c>
      <c r="W2952" s="22">
        <v>2</v>
      </c>
      <c r="X2952" s="23"/>
    </row>
    <row r="2953" spans="1:24" s="1" customFormat="1" ht="36.950000000000003" customHeight="1" x14ac:dyDescent="0.3">
      <c r="A2953" s="24" t="s">
        <v>23</v>
      </c>
      <c r="B2953" s="24" t="s">
        <v>3261</v>
      </c>
      <c r="C2953" s="12" t="s">
        <v>3262</v>
      </c>
      <c r="D2953" s="55"/>
      <c r="E2953" s="39" t="str">
        <f>HYPERLINK("https://www.google.ru/search?q=6009798-425&amp;newwindow=1&amp;tbm=isch","Еще фото")</f>
        <v>Еще фото</v>
      </c>
      <c r="F2953" s="13"/>
      <c r="G2953" s="24" t="s">
        <v>2804</v>
      </c>
      <c r="H2953" s="24" t="s">
        <v>27</v>
      </c>
      <c r="I2953" s="24" t="s">
        <v>2784</v>
      </c>
      <c r="J2953" s="14" t="s">
        <v>212</v>
      </c>
      <c r="K2953" s="15" t="s">
        <v>30</v>
      </c>
      <c r="L2953" s="58"/>
      <c r="M2953" s="14"/>
      <c r="N2953" s="14" t="s">
        <v>50</v>
      </c>
      <c r="O2953" s="14"/>
      <c r="P2953" s="15" t="s">
        <v>779</v>
      </c>
      <c r="Q2953" s="16">
        <v>6699</v>
      </c>
      <c r="R2953" s="17">
        <v>40</v>
      </c>
      <c r="S2953" s="18">
        <v>4622.3099999999995</v>
      </c>
      <c r="T2953" s="19" t="s">
        <v>36</v>
      </c>
      <c r="U2953" s="20" t="s">
        <v>43</v>
      </c>
      <c r="V2953" s="21" t="s">
        <v>44</v>
      </c>
      <c r="W2953" s="22">
        <v>5</v>
      </c>
      <c r="X2953" s="23"/>
    </row>
    <row r="2954" spans="1:24" s="1" customFormat="1" ht="21" customHeight="1" x14ac:dyDescent="0.3">
      <c r="A2954" s="11" t="s">
        <v>23</v>
      </c>
      <c r="B2954" s="11" t="s">
        <v>3263</v>
      </c>
      <c r="C2954" s="26" t="s">
        <v>3264</v>
      </c>
      <c r="D2954" s="53"/>
      <c r="E2954" s="39" t="str">
        <f>HYPERLINK("https://www.google.ru/search?q=6009931-100&amp;newwindow=1&amp;tbm=isch","Еще фото")</f>
        <v>Еще фото</v>
      </c>
      <c r="F2954" s="13"/>
      <c r="G2954" s="11" t="s">
        <v>2788</v>
      </c>
      <c r="H2954" s="11" t="s">
        <v>27</v>
      </c>
      <c r="I2954" s="14" t="s">
        <v>2784</v>
      </c>
      <c r="J2954" s="14" t="s">
        <v>47</v>
      </c>
      <c r="K2954" s="15" t="s">
        <v>30</v>
      </c>
      <c r="L2954" s="56" t="s">
        <v>3265</v>
      </c>
      <c r="M2954" s="14"/>
      <c r="N2954" s="14" t="s">
        <v>74</v>
      </c>
      <c r="O2954" s="14"/>
      <c r="P2954" s="15" t="s">
        <v>2601</v>
      </c>
      <c r="Q2954" s="16">
        <v>7699</v>
      </c>
      <c r="R2954" s="17">
        <v>40</v>
      </c>
      <c r="S2954" s="18">
        <v>5312.3099999999995</v>
      </c>
      <c r="T2954" s="19" t="s">
        <v>36</v>
      </c>
      <c r="U2954" s="20" t="s">
        <v>37</v>
      </c>
      <c r="V2954" s="21" t="s">
        <v>38</v>
      </c>
      <c r="W2954" s="22">
        <v>3</v>
      </c>
      <c r="X2954" s="23"/>
    </row>
    <row r="2955" spans="1:24" s="1" customFormat="1" ht="21" customHeight="1" x14ac:dyDescent="0.3">
      <c r="A2955" s="24" t="s">
        <v>23</v>
      </c>
      <c r="B2955" s="24" t="s">
        <v>3263</v>
      </c>
      <c r="C2955" s="27" t="s">
        <v>3264</v>
      </c>
      <c r="D2955" s="54"/>
      <c r="E2955" s="39" t="str">
        <f>HYPERLINK("https://www.google.ru/search?q=6009931-100&amp;newwindow=1&amp;tbm=isch","Еще фото")</f>
        <v>Еще фото</v>
      </c>
      <c r="F2955" s="13"/>
      <c r="G2955" s="24" t="s">
        <v>2788</v>
      </c>
      <c r="H2955" s="24" t="s">
        <v>27</v>
      </c>
      <c r="I2955" s="24" t="s">
        <v>2784</v>
      </c>
      <c r="J2955" s="14" t="s">
        <v>47</v>
      </c>
      <c r="K2955" s="15" t="s">
        <v>30</v>
      </c>
      <c r="L2955" s="57"/>
      <c r="M2955" s="14"/>
      <c r="N2955" s="14" t="s">
        <v>74</v>
      </c>
      <c r="O2955" s="14"/>
      <c r="P2955" s="15" t="s">
        <v>2601</v>
      </c>
      <c r="Q2955" s="16">
        <v>7699</v>
      </c>
      <c r="R2955" s="17">
        <v>40</v>
      </c>
      <c r="S2955" s="18">
        <v>5312.3099999999995</v>
      </c>
      <c r="T2955" s="19" t="s">
        <v>36</v>
      </c>
      <c r="U2955" s="20" t="s">
        <v>39</v>
      </c>
      <c r="V2955" s="21" t="s">
        <v>40</v>
      </c>
      <c r="W2955" s="22">
        <v>6</v>
      </c>
      <c r="X2955" s="23"/>
    </row>
    <row r="2956" spans="1:24" s="1" customFormat="1" ht="21" customHeight="1" x14ac:dyDescent="0.3">
      <c r="A2956" s="24" t="s">
        <v>23</v>
      </c>
      <c r="B2956" s="24" t="s">
        <v>3263</v>
      </c>
      <c r="C2956" s="27" t="s">
        <v>3264</v>
      </c>
      <c r="D2956" s="54"/>
      <c r="E2956" s="39" t="str">
        <f>HYPERLINK("https://www.google.ru/search?q=6009931-100&amp;newwindow=1&amp;tbm=isch","Еще фото")</f>
        <v>Еще фото</v>
      </c>
      <c r="F2956" s="13"/>
      <c r="G2956" s="24" t="s">
        <v>2788</v>
      </c>
      <c r="H2956" s="24" t="s">
        <v>27</v>
      </c>
      <c r="I2956" s="24" t="s">
        <v>2784</v>
      </c>
      <c r="J2956" s="14" t="s">
        <v>47</v>
      </c>
      <c r="K2956" s="15" t="s">
        <v>30</v>
      </c>
      <c r="L2956" s="57"/>
      <c r="M2956" s="14"/>
      <c r="N2956" s="14" t="s">
        <v>74</v>
      </c>
      <c r="O2956" s="14"/>
      <c r="P2956" s="15" t="s">
        <v>2601</v>
      </c>
      <c r="Q2956" s="16">
        <v>7699</v>
      </c>
      <c r="R2956" s="17">
        <v>40</v>
      </c>
      <c r="S2956" s="18">
        <v>5312.3099999999995</v>
      </c>
      <c r="T2956" s="19" t="s">
        <v>36</v>
      </c>
      <c r="U2956" s="20" t="s">
        <v>41</v>
      </c>
      <c r="V2956" s="21" t="s">
        <v>42</v>
      </c>
      <c r="W2956" s="22">
        <v>7</v>
      </c>
      <c r="X2956" s="23"/>
    </row>
    <row r="2957" spans="1:24" s="1" customFormat="1" ht="21" customHeight="1" x14ac:dyDescent="0.3">
      <c r="A2957" s="24" t="s">
        <v>23</v>
      </c>
      <c r="B2957" s="24" t="s">
        <v>3263</v>
      </c>
      <c r="C2957" s="27" t="s">
        <v>3264</v>
      </c>
      <c r="D2957" s="54"/>
      <c r="E2957" s="39" t="str">
        <f>HYPERLINK("https://www.google.ru/search?q=6009931-100&amp;newwindow=1&amp;tbm=isch","Еще фото")</f>
        <v>Еще фото</v>
      </c>
      <c r="F2957" s="13"/>
      <c r="G2957" s="24" t="s">
        <v>2788</v>
      </c>
      <c r="H2957" s="24" t="s">
        <v>27</v>
      </c>
      <c r="I2957" s="24" t="s">
        <v>2784</v>
      </c>
      <c r="J2957" s="14" t="s">
        <v>47</v>
      </c>
      <c r="K2957" s="15" t="s">
        <v>30</v>
      </c>
      <c r="L2957" s="57"/>
      <c r="M2957" s="14"/>
      <c r="N2957" s="14" t="s">
        <v>74</v>
      </c>
      <c r="O2957" s="14"/>
      <c r="P2957" s="15" t="s">
        <v>2601</v>
      </c>
      <c r="Q2957" s="16">
        <v>7699</v>
      </c>
      <c r="R2957" s="17">
        <v>40</v>
      </c>
      <c r="S2957" s="18">
        <v>5312.3099999999995</v>
      </c>
      <c r="T2957" s="19" t="s">
        <v>36</v>
      </c>
      <c r="U2957" s="20" t="s">
        <v>43</v>
      </c>
      <c r="V2957" s="21" t="s">
        <v>44</v>
      </c>
      <c r="W2957" s="22">
        <v>4</v>
      </c>
      <c r="X2957" s="23"/>
    </row>
    <row r="2958" spans="1:24" s="1" customFormat="1" ht="32.1" customHeight="1" x14ac:dyDescent="0.3">
      <c r="A2958" s="24" t="s">
        <v>23</v>
      </c>
      <c r="B2958" s="24" t="s">
        <v>3263</v>
      </c>
      <c r="C2958" s="27" t="s">
        <v>3264</v>
      </c>
      <c r="D2958" s="55"/>
      <c r="E2958" s="39" t="str">
        <f>HYPERLINK("https://www.google.ru/search?q=6009931-100&amp;newwindow=1&amp;tbm=isch","Еще фото")</f>
        <v>Еще фото</v>
      </c>
      <c r="F2958" s="13"/>
      <c r="G2958" s="24" t="s">
        <v>2788</v>
      </c>
      <c r="H2958" s="24" t="s">
        <v>27</v>
      </c>
      <c r="I2958" s="24" t="s">
        <v>2784</v>
      </c>
      <c r="J2958" s="14" t="s">
        <v>47</v>
      </c>
      <c r="K2958" s="15" t="s">
        <v>30</v>
      </c>
      <c r="L2958" s="58"/>
      <c r="M2958" s="14"/>
      <c r="N2958" s="14" t="s">
        <v>74</v>
      </c>
      <c r="O2958" s="14"/>
      <c r="P2958" s="15" t="s">
        <v>2601</v>
      </c>
      <c r="Q2958" s="16">
        <v>7699</v>
      </c>
      <c r="R2958" s="17">
        <v>40</v>
      </c>
      <c r="S2958" s="18">
        <v>5312.3099999999995</v>
      </c>
      <c r="T2958" s="19" t="s">
        <v>36</v>
      </c>
      <c r="U2958" s="20" t="s">
        <v>104</v>
      </c>
      <c r="V2958" s="21" t="s">
        <v>105</v>
      </c>
      <c r="W2958" s="22">
        <v>7</v>
      </c>
      <c r="X2958" s="23"/>
    </row>
    <row r="2959" spans="1:24" s="1" customFormat="1" ht="51.95" customHeight="1" x14ac:dyDescent="0.3">
      <c r="A2959" s="11" t="s">
        <v>23</v>
      </c>
      <c r="B2959" s="11" t="s">
        <v>3266</v>
      </c>
      <c r="C2959" s="12" t="s">
        <v>3267</v>
      </c>
      <c r="D2959" s="59"/>
      <c r="E2959" s="39" t="str">
        <f>HYPERLINK("https://www.google.ru/search?q=6009989-001&amp;newwindow=1&amp;tbm=isch","Еще фото")</f>
        <v>Еще фото</v>
      </c>
      <c r="F2959" s="13"/>
      <c r="G2959" s="11" t="s">
        <v>2862</v>
      </c>
      <c r="H2959" s="11" t="s">
        <v>27</v>
      </c>
      <c r="I2959" s="14" t="s">
        <v>2784</v>
      </c>
      <c r="J2959" s="14" t="s">
        <v>29</v>
      </c>
      <c r="K2959" s="15" t="s">
        <v>64</v>
      </c>
      <c r="L2959" s="56"/>
      <c r="M2959" s="14"/>
      <c r="N2959" s="14" t="s">
        <v>33</v>
      </c>
      <c r="O2959" s="14"/>
      <c r="P2959" s="15" t="s">
        <v>3268</v>
      </c>
      <c r="Q2959" s="16">
        <v>2999</v>
      </c>
      <c r="R2959" s="17">
        <v>40</v>
      </c>
      <c r="S2959" s="18">
        <v>2069.31</v>
      </c>
      <c r="T2959" s="19" t="s">
        <v>36</v>
      </c>
      <c r="U2959" s="20" t="s">
        <v>39</v>
      </c>
      <c r="V2959" s="21" t="s">
        <v>38</v>
      </c>
      <c r="W2959" s="22">
        <v>1</v>
      </c>
      <c r="X2959" s="23"/>
    </row>
    <row r="2960" spans="1:24" s="1" customFormat="1" ht="60.95" customHeight="1" x14ac:dyDescent="0.3">
      <c r="A2960" s="24" t="s">
        <v>23</v>
      </c>
      <c r="B2960" s="24" t="s">
        <v>3266</v>
      </c>
      <c r="C2960" s="12" t="s">
        <v>3267</v>
      </c>
      <c r="D2960" s="60"/>
      <c r="E2960" s="39" t="str">
        <f>HYPERLINK("https://www.google.ru/search?q=6009989-001&amp;newwindow=1&amp;tbm=isch","Еще фото")</f>
        <v>Еще фото</v>
      </c>
      <c r="F2960" s="13"/>
      <c r="G2960" s="24" t="s">
        <v>2862</v>
      </c>
      <c r="H2960" s="24" t="s">
        <v>27</v>
      </c>
      <c r="I2960" s="24" t="s">
        <v>2784</v>
      </c>
      <c r="J2960" s="14" t="s">
        <v>29</v>
      </c>
      <c r="K2960" s="15" t="s">
        <v>64</v>
      </c>
      <c r="L2960" s="58"/>
      <c r="M2960" s="14"/>
      <c r="N2960" s="14" t="s">
        <v>33</v>
      </c>
      <c r="O2960" s="14"/>
      <c r="P2960" s="15" t="s">
        <v>3268</v>
      </c>
      <c r="Q2960" s="16">
        <v>2999</v>
      </c>
      <c r="R2960" s="17">
        <v>40</v>
      </c>
      <c r="S2960" s="18">
        <v>2069.31</v>
      </c>
      <c r="T2960" s="19" t="s">
        <v>36</v>
      </c>
      <c r="U2960" s="20" t="s">
        <v>41</v>
      </c>
      <c r="V2960" s="21" t="s">
        <v>40</v>
      </c>
      <c r="W2960" s="22">
        <v>11</v>
      </c>
      <c r="X2960" s="23"/>
    </row>
    <row r="2961" spans="1:24" s="1" customFormat="1" ht="51.95" customHeight="1" x14ac:dyDescent="0.3">
      <c r="A2961" s="11" t="s">
        <v>23</v>
      </c>
      <c r="B2961" s="11" t="s">
        <v>2961</v>
      </c>
      <c r="C2961" s="12" t="s">
        <v>3269</v>
      </c>
      <c r="D2961" s="59"/>
      <c r="E2961" s="39" t="str">
        <f>HYPERLINK("https://www.google.ru/search?q=6009990-001&amp;newwindow=1&amp;tbm=isch","Еще фото")</f>
        <v>Еще фото</v>
      </c>
      <c r="F2961" s="13"/>
      <c r="G2961" s="11" t="s">
        <v>2788</v>
      </c>
      <c r="H2961" s="11" t="s">
        <v>27</v>
      </c>
      <c r="I2961" s="14" t="s">
        <v>2784</v>
      </c>
      <c r="J2961" s="14" t="s">
        <v>29</v>
      </c>
      <c r="K2961" s="15" t="s">
        <v>64</v>
      </c>
      <c r="L2961" s="56"/>
      <c r="M2961" s="14"/>
      <c r="N2961" s="14" t="s">
        <v>33</v>
      </c>
      <c r="O2961" s="14"/>
      <c r="P2961" s="15" t="s">
        <v>3268</v>
      </c>
      <c r="Q2961" s="16">
        <v>3299</v>
      </c>
      <c r="R2961" s="17">
        <v>40</v>
      </c>
      <c r="S2961" s="18">
        <v>2276.31</v>
      </c>
      <c r="T2961" s="19" t="s">
        <v>36</v>
      </c>
      <c r="U2961" s="20" t="s">
        <v>37</v>
      </c>
      <c r="V2961" s="21" t="s">
        <v>86</v>
      </c>
      <c r="W2961" s="22">
        <v>1</v>
      </c>
      <c r="X2961" s="23"/>
    </row>
    <row r="2962" spans="1:24" s="1" customFormat="1" ht="60.95" customHeight="1" x14ac:dyDescent="0.3">
      <c r="A2962" s="24" t="s">
        <v>23</v>
      </c>
      <c r="B2962" s="24" t="s">
        <v>2961</v>
      </c>
      <c r="C2962" s="12" t="s">
        <v>3269</v>
      </c>
      <c r="D2962" s="60"/>
      <c r="E2962" s="39" t="str">
        <f>HYPERLINK("https://www.google.ru/search?q=6009990-001&amp;newwindow=1&amp;tbm=isch","Еще фото")</f>
        <v>Еще фото</v>
      </c>
      <c r="F2962" s="13"/>
      <c r="G2962" s="24" t="s">
        <v>2788</v>
      </c>
      <c r="H2962" s="24" t="s">
        <v>27</v>
      </c>
      <c r="I2962" s="24" t="s">
        <v>2784</v>
      </c>
      <c r="J2962" s="14" t="s">
        <v>29</v>
      </c>
      <c r="K2962" s="15" t="s">
        <v>64</v>
      </c>
      <c r="L2962" s="58"/>
      <c r="M2962" s="14"/>
      <c r="N2962" s="14" t="s">
        <v>33</v>
      </c>
      <c r="O2962" s="14"/>
      <c r="P2962" s="15" t="s">
        <v>3268</v>
      </c>
      <c r="Q2962" s="16">
        <v>3299</v>
      </c>
      <c r="R2962" s="17">
        <v>40</v>
      </c>
      <c r="S2962" s="18">
        <v>2276.31</v>
      </c>
      <c r="T2962" s="19" t="s">
        <v>36</v>
      </c>
      <c r="U2962" s="20" t="s">
        <v>39</v>
      </c>
      <c r="V2962" s="21" t="s">
        <v>38</v>
      </c>
      <c r="W2962" s="22">
        <v>1</v>
      </c>
      <c r="X2962" s="23"/>
    </row>
    <row r="2963" spans="1:24" s="1" customFormat="1" ht="21" customHeight="1" x14ac:dyDescent="0.3">
      <c r="A2963" s="11" t="s">
        <v>23</v>
      </c>
      <c r="B2963" s="11" t="s">
        <v>3270</v>
      </c>
      <c r="C2963" s="26" t="s">
        <v>3271</v>
      </c>
      <c r="D2963" s="53"/>
      <c r="E2963" s="39" t="str">
        <f>HYPERLINK("https://www.google.ru/search?q=6010006-600&amp;newwindow=1&amp;tbm=isch","Еще фото")</f>
        <v>Еще фото</v>
      </c>
      <c r="F2963" s="13"/>
      <c r="G2963" s="11" t="s">
        <v>2788</v>
      </c>
      <c r="H2963" s="11" t="s">
        <v>27</v>
      </c>
      <c r="I2963" s="14" t="s">
        <v>2784</v>
      </c>
      <c r="J2963" s="14" t="s">
        <v>29</v>
      </c>
      <c r="K2963" s="15" t="s">
        <v>64</v>
      </c>
      <c r="L2963" s="56"/>
      <c r="M2963" s="14"/>
      <c r="N2963" s="14" t="s">
        <v>57</v>
      </c>
      <c r="O2963" s="14"/>
      <c r="P2963" s="15" t="s">
        <v>3272</v>
      </c>
      <c r="Q2963" s="16">
        <v>3599</v>
      </c>
      <c r="R2963" s="17">
        <v>40</v>
      </c>
      <c r="S2963" s="18">
        <v>2483.31</v>
      </c>
      <c r="T2963" s="19" t="s">
        <v>36</v>
      </c>
      <c r="U2963" s="20" t="s">
        <v>69</v>
      </c>
      <c r="V2963" s="21" t="s">
        <v>70</v>
      </c>
      <c r="W2963" s="22">
        <v>11</v>
      </c>
      <c r="X2963" s="23"/>
    </row>
    <row r="2964" spans="1:24" s="1" customFormat="1" ht="21" customHeight="1" x14ac:dyDescent="0.3">
      <c r="A2964" s="24" t="s">
        <v>23</v>
      </c>
      <c r="B2964" s="24" t="s">
        <v>3270</v>
      </c>
      <c r="C2964" s="27" t="s">
        <v>3271</v>
      </c>
      <c r="D2964" s="54"/>
      <c r="E2964" s="39" t="str">
        <f>HYPERLINK("https://www.google.ru/search?q=6010006-600&amp;newwindow=1&amp;tbm=isch","Еще фото")</f>
        <v>Еще фото</v>
      </c>
      <c r="F2964" s="13"/>
      <c r="G2964" s="24" t="s">
        <v>2788</v>
      </c>
      <c r="H2964" s="24" t="s">
        <v>27</v>
      </c>
      <c r="I2964" s="24" t="s">
        <v>2784</v>
      </c>
      <c r="J2964" s="14" t="s">
        <v>29</v>
      </c>
      <c r="K2964" s="15" t="s">
        <v>64</v>
      </c>
      <c r="L2964" s="57"/>
      <c r="M2964" s="14"/>
      <c r="N2964" s="14" t="s">
        <v>57</v>
      </c>
      <c r="O2964" s="14"/>
      <c r="P2964" s="15" t="s">
        <v>3272</v>
      </c>
      <c r="Q2964" s="16">
        <v>3599</v>
      </c>
      <c r="R2964" s="17">
        <v>40</v>
      </c>
      <c r="S2964" s="18">
        <v>2483.31</v>
      </c>
      <c r="T2964" s="19" t="s">
        <v>36</v>
      </c>
      <c r="U2964" s="20" t="s">
        <v>37</v>
      </c>
      <c r="V2964" s="21" t="s">
        <v>86</v>
      </c>
      <c r="W2964" s="22">
        <v>4</v>
      </c>
      <c r="X2964" s="23"/>
    </row>
    <row r="2965" spans="1:24" s="1" customFormat="1" ht="21" customHeight="1" x14ac:dyDescent="0.3">
      <c r="A2965" s="24" t="s">
        <v>23</v>
      </c>
      <c r="B2965" s="24" t="s">
        <v>3270</v>
      </c>
      <c r="C2965" s="27" t="s">
        <v>3271</v>
      </c>
      <c r="D2965" s="54"/>
      <c r="E2965" s="39" t="str">
        <f>HYPERLINK("https://www.google.ru/search?q=6010006-600&amp;newwindow=1&amp;tbm=isch","Еще фото")</f>
        <v>Еще фото</v>
      </c>
      <c r="F2965" s="13"/>
      <c r="G2965" s="24" t="s">
        <v>2788</v>
      </c>
      <c r="H2965" s="24" t="s">
        <v>27</v>
      </c>
      <c r="I2965" s="24" t="s">
        <v>2784</v>
      </c>
      <c r="J2965" s="14" t="s">
        <v>29</v>
      </c>
      <c r="K2965" s="15" t="s">
        <v>64</v>
      </c>
      <c r="L2965" s="57"/>
      <c r="M2965" s="14"/>
      <c r="N2965" s="14" t="s">
        <v>57</v>
      </c>
      <c r="O2965" s="14"/>
      <c r="P2965" s="15" t="s">
        <v>3272</v>
      </c>
      <c r="Q2965" s="16">
        <v>3599</v>
      </c>
      <c r="R2965" s="17">
        <v>40</v>
      </c>
      <c r="S2965" s="18">
        <v>2483.31</v>
      </c>
      <c r="T2965" s="19" t="s">
        <v>36</v>
      </c>
      <c r="U2965" s="20" t="s">
        <v>39</v>
      </c>
      <c r="V2965" s="21" t="s">
        <v>38</v>
      </c>
      <c r="W2965" s="22">
        <v>18</v>
      </c>
      <c r="X2965" s="23"/>
    </row>
    <row r="2966" spans="1:24" s="1" customFormat="1" ht="21" customHeight="1" x14ac:dyDescent="0.3">
      <c r="A2966" s="24" t="s">
        <v>23</v>
      </c>
      <c r="B2966" s="24" t="s">
        <v>3270</v>
      </c>
      <c r="C2966" s="27" t="s">
        <v>3271</v>
      </c>
      <c r="D2966" s="54"/>
      <c r="E2966" s="39" t="str">
        <f>HYPERLINK("https://www.google.ru/search?q=6010006-600&amp;newwindow=1&amp;tbm=isch","Еще фото")</f>
        <v>Еще фото</v>
      </c>
      <c r="F2966" s="13"/>
      <c r="G2966" s="24" t="s">
        <v>2788</v>
      </c>
      <c r="H2966" s="24" t="s">
        <v>27</v>
      </c>
      <c r="I2966" s="24" t="s">
        <v>2784</v>
      </c>
      <c r="J2966" s="14" t="s">
        <v>29</v>
      </c>
      <c r="K2966" s="15" t="s">
        <v>64</v>
      </c>
      <c r="L2966" s="57"/>
      <c r="M2966" s="14"/>
      <c r="N2966" s="14" t="s">
        <v>57</v>
      </c>
      <c r="O2966" s="14"/>
      <c r="P2966" s="15" t="s">
        <v>3272</v>
      </c>
      <c r="Q2966" s="16">
        <v>3599</v>
      </c>
      <c r="R2966" s="17">
        <v>40</v>
      </c>
      <c r="S2966" s="18">
        <v>2483.31</v>
      </c>
      <c r="T2966" s="19" t="s">
        <v>36</v>
      </c>
      <c r="U2966" s="20" t="s">
        <v>41</v>
      </c>
      <c r="V2966" s="21" t="s">
        <v>40</v>
      </c>
      <c r="W2966" s="22">
        <v>13</v>
      </c>
      <c r="X2966" s="23"/>
    </row>
    <row r="2967" spans="1:24" s="1" customFormat="1" ht="32.1" customHeight="1" x14ac:dyDescent="0.3">
      <c r="A2967" s="24" t="s">
        <v>23</v>
      </c>
      <c r="B2967" s="24" t="s">
        <v>3270</v>
      </c>
      <c r="C2967" s="27" t="s">
        <v>3271</v>
      </c>
      <c r="D2967" s="55"/>
      <c r="E2967" s="39" t="str">
        <f>HYPERLINK("https://www.google.ru/search?q=6010006-600&amp;newwindow=1&amp;tbm=isch","Еще фото")</f>
        <v>Еще фото</v>
      </c>
      <c r="F2967" s="13"/>
      <c r="G2967" s="24" t="s">
        <v>2788</v>
      </c>
      <c r="H2967" s="24" t="s">
        <v>27</v>
      </c>
      <c r="I2967" s="24" t="s">
        <v>2784</v>
      </c>
      <c r="J2967" s="14" t="s">
        <v>29</v>
      </c>
      <c r="K2967" s="15" t="s">
        <v>64</v>
      </c>
      <c r="L2967" s="58"/>
      <c r="M2967" s="14"/>
      <c r="N2967" s="14" t="s">
        <v>57</v>
      </c>
      <c r="O2967" s="14"/>
      <c r="P2967" s="15" t="s">
        <v>3272</v>
      </c>
      <c r="Q2967" s="16">
        <v>3599</v>
      </c>
      <c r="R2967" s="17">
        <v>40</v>
      </c>
      <c r="S2967" s="18">
        <v>2483.31</v>
      </c>
      <c r="T2967" s="19" t="s">
        <v>36</v>
      </c>
      <c r="U2967" s="20" t="s">
        <v>43</v>
      </c>
      <c r="V2967" s="21" t="s">
        <v>42</v>
      </c>
      <c r="W2967" s="22">
        <v>4</v>
      </c>
      <c r="X2967" s="23"/>
    </row>
    <row r="2968" spans="1:24" s="1" customFormat="1" ht="108" customHeight="1" x14ac:dyDescent="0.3">
      <c r="A2968" s="11" t="s">
        <v>23</v>
      </c>
      <c r="B2968" s="11" t="s">
        <v>3273</v>
      </c>
      <c r="C2968" s="12" t="s">
        <v>3274</v>
      </c>
      <c r="D2968" s="25"/>
      <c r="E2968" s="39" t="str">
        <f>HYPERLINK("https://www.google.ru/search?q=6010007-008&amp;newwindow=1&amp;tbm=isch","Еще фото")</f>
        <v>Еще фото</v>
      </c>
      <c r="F2968" s="13"/>
      <c r="G2968" s="11" t="s">
        <v>2862</v>
      </c>
      <c r="H2968" s="11" t="s">
        <v>27</v>
      </c>
      <c r="I2968" s="14" t="s">
        <v>2784</v>
      </c>
      <c r="J2968" s="14" t="s">
        <v>29</v>
      </c>
      <c r="K2968" s="15" t="s">
        <v>64</v>
      </c>
      <c r="L2968" s="14" t="s">
        <v>3275</v>
      </c>
      <c r="M2968" s="14"/>
      <c r="N2968" s="14" t="s">
        <v>33</v>
      </c>
      <c r="O2968" s="14"/>
      <c r="P2968" s="15" t="s">
        <v>3272</v>
      </c>
      <c r="Q2968" s="16">
        <v>3099</v>
      </c>
      <c r="R2968" s="17">
        <v>40</v>
      </c>
      <c r="S2968" s="18">
        <v>2138.31</v>
      </c>
      <c r="T2968" s="19" t="s">
        <v>36</v>
      </c>
      <c r="U2968" s="20" t="s">
        <v>39</v>
      </c>
      <c r="V2968" s="21" t="s">
        <v>38</v>
      </c>
      <c r="W2968" s="22">
        <v>1</v>
      </c>
      <c r="X2968" s="23"/>
    </row>
    <row r="2969" spans="1:24" s="1" customFormat="1" ht="51.95" customHeight="1" x14ac:dyDescent="0.3">
      <c r="A2969" s="11" t="s">
        <v>23</v>
      </c>
      <c r="B2969" s="11" t="s">
        <v>3276</v>
      </c>
      <c r="C2969" s="12" t="s">
        <v>3277</v>
      </c>
      <c r="D2969" s="59"/>
      <c r="E2969" s="39" t="str">
        <f>HYPERLINK("https://www.google.ru/search?q=6010361-426&amp;newwindow=1&amp;tbm=isch","Еще фото")</f>
        <v>Еще фото</v>
      </c>
      <c r="F2969" s="13"/>
      <c r="G2969" s="11" t="s">
        <v>2788</v>
      </c>
      <c r="H2969" s="11" t="s">
        <v>27</v>
      </c>
      <c r="I2969" s="14" t="s">
        <v>2784</v>
      </c>
      <c r="J2969" s="14" t="s">
        <v>506</v>
      </c>
      <c r="K2969" s="15" t="s">
        <v>30</v>
      </c>
      <c r="L2969" s="56"/>
      <c r="M2969" s="14"/>
      <c r="N2969" s="14" t="s">
        <v>91</v>
      </c>
      <c r="O2969" s="14"/>
      <c r="P2969" s="15" t="s">
        <v>2856</v>
      </c>
      <c r="Q2969" s="16">
        <v>3699</v>
      </c>
      <c r="R2969" s="17">
        <v>40</v>
      </c>
      <c r="S2969" s="18">
        <v>2552.31</v>
      </c>
      <c r="T2969" s="19" t="s">
        <v>36</v>
      </c>
      <c r="U2969" s="20" t="s">
        <v>39</v>
      </c>
      <c r="V2969" s="21" t="s">
        <v>40</v>
      </c>
      <c r="W2969" s="22">
        <v>2</v>
      </c>
      <c r="X2969" s="23"/>
    </row>
    <row r="2970" spans="1:24" s="1" customFormat="1" ht="60.95" customHeight="1" x14ac:dyDescent="0.3">
      <c r="A2970" s="24" t="s">
        <v>23</v>
      </c>
      <c r="B2970" s="24" t="s">
        <v>3276</v>
      </c>
      <c r="C2970" s="12" t="s">
        <v>3277</v>
      </c>
      <c r="D2970" s="60"/>
      <c r="E2970" s="39" t="str">
        <f>HYPERLINK("https://www.google.ru/search?q=6010361-426&amp;newwindow=1&amp;tbm=isch","Еще фото")</f>
        <v>Еще фото</v>
      </c>
      <c r="F2970" s="13"/>
      <c r="G2970" s="24" t="s">
        <v>2788</v>
      </c>
      <c r="H2970" s="24" t="s">
        <v>27</v>
      </c>
      <c r="I2970" s="24" t="s">
        <v>2784</v>
      </c>
      <c r="J2970" s="14" t="s">
        <v>506</v>
      </c>
      <c r="K2970" s="15" t="s">
        <v>30</v>
      </c>
      <c r="L2970" s="58"/>
      <c r="M2970" s="14"/>
      <c r="N2970" s="14" t="s">
        <v>91</v>
      </c>
      <c r="O2970" s="14"/>
      <c r="P2970" s="15" t="s">
        <v>2856</v>
      </c>
      <c r="Q2970" s="16">
        <v>3699</v>
      </c>
      <c r="R2970" s="17">
        <v>40</v>
      </c>
      <c r="S2970" s="18">
        <v>2552.31</v>
      </c>
      <c r="T2970" s="19" t="s">
        <v>36</v>
      </c>
      <c r="U2970" s="20" t="s">
        <v>43</v>
      </c>
      <c r="V2970" s="21" t="s">
        <v>44</v>
      </c>
      <c r="W2970" s="22">
        <v>1</v>
      </c>
      <c r="X2970" s="23"/>
    </row>
    <row r="2971" spans="1:24" s="1" customFormat="1" ht="51.95" customHeight="1" x14ac:dyDescent="0.3">
      <c r="A2971" s="11" t="s">
        <v>23</v>
      </c>
      <c r="B2971" s="11" t="s">
        <v>3278</v>
      </c>
      <c r="C2971" s="12" t="s">
        <v>3279</v>
      </c>
      <c r="D2971" s="59"/>
      <c r="E2971" s="39" t="str">
        <f>HYPERLINK("https://www.google.ru/search?q=6010362-001&amp;newwindow=1&amp;tbm=isch","Еще фото")</f>
        <v>Еще фото</v>
      </c>
      <c r="F2971" s="13"/>
      <c r="G2971" s="11" t="s">
        <v>2788</v>
      </c>
      <c r="H2971" s="11" t="s">
        <v>27</v>
      </c>
      <c r="I2971" s="14" t="s">
        <v>2784</v>
      </c>
      <c r="J2971" s="14" t="s">
        <v>506</v>
      </c>
      <c r="K2971" s="15" t="s">
        <v>30</v>
      </c>
      <c r="L2971" s="56"/>
      <c r="M2971" s="14"/>
      <c r="N2971" s="14" t="s">
        <v>33</v>
      </c>
      <c r="O2971" s="14"/>
      <c r="P2971" s="15" t="s">
        <v>2856</v>
      </c>
      <c r="Q2971" s="16">
        <v>4099</v>
      </c>
      <c r="R2971" s="17">
        <v>40</v>
      </c>
      <c r="S2971" s="18">
        <v>2828.31</v>
      </c>
      <c r="T2971" s="19" t="s">
        <v>36</v>
      </c>
      <c r="U2971" s="20" t="s">
        <v>39</v>
      </c>
      <c r="V2971" s="21" t="s">
        <v>40</v>
      </c>
      <c r="W2971" s="22">
        <v>2</v>
      </c>
      <c r="X2971" s="23"/>
    </row>
    <row r="2972" spans="1:24" s="1" customFormat="1" ht="60.95" customHeight="1" x14ac:dyDescent="0.3">
      <c r="A2972" s="24" t="s">
        <v>23</v>
      </c>
      <c r="B2972" s="24" t="s">
        <v>3278</v>
      </c>
      <c r="C2972" s="12" t="s">
        <v>3279</v>
      </c>
      <c r="D2972" s="60"/>
      <c r="E2972" s="39" t="str">
        <f>HYPERLINK("https://www.google.ru/search?q=6010362-001&amp;newwindow=1&amp;tbm=isch","Еще фото")</f>
        <v>Еще фото</v>
      </c>
      <c r="F2972" s="13"/>
      <c r="G2972" s="24" t="s">
        <v>2788</v>
      </c>
      <c r="H2972" s="24" t="s">
        <v>27</v>
      </c>
      <c r="I2972" s="24" t="s">
        <v>2784</v>
      </c>
      <c r="J2972" s="14" t="s">
        <v>506</v>
      </c>
      <c r="K2972" s="15" t="s">
        <v>30</v>
      </c>
      <c r="L2972" s="58"/>
      <c r="M2972" s="14"/>
      <c r="N2972" s="14" t="s">
        <v>33</v>
      </c>
      <c r="O2972" s="14"/>
      <c r="P2972" s="15" t="s">
        <v>2856</v>
      </c>
      <c r="Q2972" s="16">
        <v>4099</v>
      </c>
      <c r="R2972" s="17">
        <v>40</v>
      </c>
      <c r="S2972" s="18">
        <v>2828.31</v>
      </c>
      <c r="T2972" s="19" t="s">
        <v>36</v>
      </c>
      <c r="U2972" s="20" t="s">
        <v>41</v>
      </c>
      <c r="V2972" s="21" t="s">
        <v>42</v>
      </c>
      <c r="W2972" s="22">
        <v>5</v>
      </c>
      <c r="X2972" s="23"/>
    </row>
    <row r="2973" spans="1:24" s="1" customFormat="1" ht="51.95" customHeight="1" x14ac:dyDescent="0.3">
      <c r="A2973" s="11" t="s">
        <v>23</v>
      </c>
      <c r="B2973" s="11" t="s">
        <v>3280</v>
      </c>
      <c r="C2973" s="12" t="s">
        <v>3281</v>
      </c>
      <c r="D2973" s="59"/>
      <c r="E2973" s="39" t="str">
        <f>HYPERLINK("https://www.google.ru/search?q=6010364-100&amp;newwindow=1&amp;tbm=isch","Еще фото")</f>
        <v>Еще фото</v>
      </c>
      <c r="F2973" s="13"/>
      <c r="G2973" s="11" t="s">
        <v>2788</v>
      </c>
      <c r="H2973" s="11" t="s">
        <v>27</v>
      </c>
      <c r="I2973" s="14" t="s">
        <v>2784</v>
      </c>
      <c r="J2973" s="14" t="s">
        <v>506</v>
      </c>
      <c r="K2973" s="15" t="s">
        <v>30</v>
      </c>
      <c r="L2973" s="56"/>
      <c r="M2973" s="14"/>
      <c r="N2973" s="14" t="s">
        <v>74</v>
      </c>
      <c r="O2973" s="14"/>
      <c r="P2973" s="15" t="s">
        <v>2856</v>
      </c>
      <c r="Q2973" s="16">
        <v>3999</v>
      </c>
      <c r="R2973" s="17">
        <v>40</v>
      </c>
      <c r="S2973" s="18">
        <v>2759.31</v>
      </c>
      <c r="T2973" s="19" t="s">
        <v>36</v>
      </c>
      <c r="U2973" s="20" t="s">
        <v>39</v>
      </c>
      <c r="V2973" s="21" t="s">
        <v>40</v>
      </c>
      <c r="W2973" s="22">
        <v>11</v>
      </c>
      <c r="X2973" s="23"/>
    </row>
    <row r="2974" spans="1:24" s="1" customFormat="1" ht="60.95" customHeight="1" x14ac:dyDescent="0.3">
      <c r="A2974" s="24" t="s">
        <v>23</v>
      </c>
      <c r="B2974" s="24" t="s">
        <v>3280</v>
      </c>
      <c r="C2974" s="12" t="s">
        <v>3281</v>
      </c>
      <c r="D2974" s="60"/>
      <c r="E2974" s="39" t="str">
        <f>HYPERLINK("https://www.google.ru/search?q=6010364-100&amp;newwindow=1&amp;tbm=isch","Еще фото")</f>
        <v>Еще фото</v>
      </c>
      <c r="F2974" s="13"/>
      <c r="G2974" s="24" t="s">
        <v>2788</v>
      </c>
      <c r="H2974" s="24" t="s">
        <v>27</v>
      </c>
      <c r="I2974" s="24" t="s">
        <v>2784</v>
      </c>
      <c r="J2974" s="14" t="s">
        <v>506</v>
      </c>
      <c r="K2974" s="15" t="s">
        <v>30</v>
      </c>
      <c r="L2974" s="58"/>
      <c r="M2974" s="14"/>
      <c r="N2974" s="14" t="s">
        <v>74</v>
      </c>
      <c r="O2974" s="14"/>
      <c r="P2974" s="15" t="s">
        <v>2856</v>
      </c>
      <c r="Q2974" s="16">
        <v>3999</v>
      </c>
      <c r="R2974" s="17">
        <v>40</v>
      </c>
      <c r="S2974" s="18">
        <v>2759.31</v>
      </c>
      <c r="T2974" s="19" t="s">
        <v>36</v>
      </c>
      <c r="U2974" s="20" t="s">
        <v>104</v>
      </c>
      <c r="V2974" s="21" t="s">
        <v>105</v>
      </c>
      <c r="W2974" s="22">
        <v>5</v>
      </c>
      <c r="X2974" s="23"/>
    </row>
    <row r="2975" spans="1:24" s="1" customFormat="1" ht="51.95" customHeight="1" x14ac:dyDescent="0.3">
      <c r="A2975" s="11" t="s">
        <v>23</v>
      </c>
      <c r="B2975" s="11" t="s">
        <v>3282</v>
      </c>
      <c r="C2975" s="12" t="s">
        <v>3283</v>
      </c>
      <c r="D2975" s="59"/>
      <c r="E2975" s="39" t="str">
        <f>HYPERLINK("https://www.google.ru/search?q=6010588-001&amp;newwindow=1&amp;tbm=isch","Еще фото")</f>
        <v>Еще фото</v>
      </c>
      <c r="F2975" s="13"/>
      <c r="G2975" s="11" t="s">
        <v>2788</v>
      </c>
      <c r="H2975" s="11" t="s">
        <v>27</v>
      </c>
      <c r="I2975" s="14" t="s">
        <v>2784</v>
      </c>
      <c r="J2975" s="14" t="s">
        <v>47</v>
      </c>
      <c r="K2975" s="15" t="s">
        <v>64</v>
      </c>
      <c r="L2975" s="56" t="s">
        <v>3284</v>
      </c>
      <c r="M2975" s="14"/>
      <c r="N2975" s="14" t="s">
        <v>33</v>
      </c>
      <c r="O2975" s="14"/>
      <c r="P2975" s="15" t="s">
        <v>2601</v>
      </c>
      <c r="Q2975" s="16">
        <v>2699</v>
      </c>
      <c r="R2975" s="17">
        <v>40</v>
      </c>
      <c r="S2975" s="18">
        <v>1862.31</v>
      </c>
      <c r="T2975" s="19" t="s">
        <v>36</v>
      </c>
      <c r="U2975" s="20" t="s">
        <v>39</v>
      </c>
      <c r="V2975" s="21" t="s">
        <v>38</v>
      </c>
      <c r="W2975" s="22">
        <v>1</v>
      </c>
      <c r="X2975" s="23"/>
    </row>
    <row r="2976" spans="1:24" s="1" customFormat="1" ht="60.95" customHeight="1" x14ac:dyDescent="0.3">
      <c r="A2976" s="24" t="s">
        <v>23</v>
      </c>
      <c r="B2976" s="24" t="s">
        <v>3282</v>
      </c>
      <c r="C2976" s="12" t="s">
        <v>3283</v>
      </c>
      <c r="D2976" s="60"/>
      <c r="E2976" s="39" t="str">
        <f>HYPERLINK("https://www.google.ru/search?q=6010588-001&amp;newwindow=1&amp;tbm=isch","Еще фото")</f>
        <v>Еще фото</v>
      </c>
      <c r="F2976" s="13"/>
      <c r="G2976" s="24" t="s">
        <v>2788</v>
      </c>
      <c r="H2976" s="24" t="s">
        <v>27</v>
      </c>
      <c r="I2976" s="24" t="s">
        <v>2784</v>
      </c>
      <c r="J2976" s="14" t="s">
        <v>47</v>
      </c>
      <c r="K2976" s="15" t="s">
        <v>64</v>
      </c>
      <c r="L2976" s="58"/>
      <c r="M2976" s="14"/>
      <c r="N2976" s="14" t="s">
        <v>33</v>
      </c>
      <c r="O2976" s="14"/>
      <c r="P2976" s="15" t="s">
        <v>2601</v>
      </c>
      <c r="Q2976" s="16">
        <v>2699</v>
      </c>
      <c r="R2976" s="17">
        <v>40</v>
      </c>
      <c r="S2976" s="18">
        <v>1862.31</v>
      </c>
      <c r="T2976" s="19" t="s">
        <v>36</v>
      </c>
      <c r="U2976" s="20" t="s">
        <v>41</v>
      </c>
      <c r="V2976" s="21" t="s">
        <v>40</v>
      </c>
      <c r="W2976" s="22">
        <v>1</v>
      </c>
      <c r="X2976" s="23"/>
    </row>
    <row r="2977" spans="1:24" s="1" customFormat="1" ht="51.95" customHeight="1" x14ac:dyDescent="0.3">
      <c r="A2977" s="11" t="s">
        <v>23</v>
      </c>
      <c r="B2977" s="11" t="s">
        <v>3282</v>
      </c>
      <c r="C2977" s="12" t="s">
        <v>3285</v>
      </c>
      <c r="D2977" s="59"/>
      <c r="E2977" s="39" t="str">
        <f>HYPERLINK("https://www.google.ru/search?q=6010588-100&amp;newwindow=1&amp;tbm=isch","Еще фото")</f>
        <v>Еще фото</v>
      </c>
      <c r="F2977" s="13"/>
      <c r="G2977" s="11" t="s">
        <v>2788</v>
      </c>
      <c r="H2977" s="11" t="s">
        <v>27</v>
      </c>
      <c r="I2977" s="14" t="s">
        <v>2784</v>
      </c>
      <c r="J2977" s="14" t="s">
        <v>47</v>
      </c>
      <c r="K2977" s="15" t="s">
        <v>64</v>
      </c>
      <c r="L2977" s="56" t="s">
        <v>3284</v>
      </c>
      <c r="M2977" s="14"/>
      <c r="N2977" s="14" t="s">
        <v>74</v>
      </c>
      <c r="O2977" s="14"/>
      <c r="P2977" s="15" t="s">
        <v>2601</v>
      </c>
      <c r="Q2977" s="16">
        <v>2699</v>
      </c>
      <c r="R2977" s="17">
        <v>40</v>
      </c>
      <c r="S2977" s="18">
        <v>1862.31</v>
      </c>
      <c r="T2977" s="19" t="s">
        <v>36</v>
      </c>
      <c r="U2977" s="20" t="s">
        <v>39</v>
      </c>
      <c r="V2977" s="21" t="s">
        <v>38</v>
      </c>
      <c r="W2977" s="22">
        <v>10</v>
      </c>
      <c r="X2977" s="23"/>
    </row>
    <row r="2978" spans="1:24" s="1" customFormat="1" ht="60.95" customHeight="1" x14ac:dyDescent="0.3">
      <c r="A2978" s="24" t="s">
        <v>23</v>
      </c>
      <c r="B2978" s="24" t="s">
        <v>3282</v>
      </c>
      <c r="C2978" s="12" t="s">
        <v>3285</v>
      </c>
      <c r="D2978" s="60"/>
      <c r="E2978" s="39" t="str">
        <f>HYPERLINK("https://www.google.ru/search?q=6010588-100&amp;newwindow=1&amp;tbm=isch","Еще фото")</f>
        <v>Еще фото</v>
      </c>
      <c r="F2978" s="13"/>
      <c r="G2978" s="24" t="s">
        <v>2788</v>
      </c>
      <c r="H2978" s="24" t="s">
        <v>27</v>
      </c>
      <c r="I2978" s="24" t="s">
        <v>2784</v>
      </c>
      <c r="J2978" s="14" t="s">
        <v>47</v>
      </c>
      <c r="K2978" s="15" t="s">
        <v>64</v>
      </c>
      <c r="L2978" s="58"/>
      <c r="M2978" s="14"/>
      <c r="N2978" s="14" t="s">
        <v>74</v>
      </c>
      <c r="O2978" s="14"/>
      <c r="P2978" s="15" t="s">
        <v>2601</v>
      </c>
      <c r="Q2978" s="16">
        <v>2699</v>
      </c>
      <c r="R2978" s="17">
        <v>40</v>
      </c>
      <c r="S2978" s="18">
        <v>1862.31</v>
      </c>
      <c r="T2978" s="19" t="s">
        <v>36</v>
      </c>
      <c r="U2978" s="20" t="s">
        <v>41</v>
      </c>
      <c r="V2978" s="21" t="s">
        <v>40</v>
      </c>
      <c r="W2978" s="22">
        <v>9</v>
      </c>
      <c r="X2978" s="23"/>
    </row>
    <row r="2979" spans="1:24" s="1" customFormat="1" ht="35.1" customHeight="1" x14ac:dyDescent="0.3">
      <c r="A2979" s="11" t="s">
        <v>23</v>
      </c>
      <c r="B2979" s="11" t="s">
        <v>2825</v>
      </c>
      <c r="C2979" s="12" t="s">
        <v>3286</v>
      </c>
      <c r="D2979" s="53"/>
      <c r="E2979" s="39" t="str">
        <f>HYPERLINK("https://www.google.ru/search?q=6010592-466&amp;newwindow=1&amp;tbm=isch","Еще фото")</f>
        <v>Еще фото</v>
      </c>
      <c r="F2979" s="13"/>
      <c r="G2979" s="11" t="s">
        <v>2788</v>
      </c>
      <c r="H2979" s="11" t="s">
        <v>27</v>
      </c>
      <c r="I2979" s="14" t="s">
        <v>2784</v>
      </c>
      <c r="J2979" s="14" t="s">
        <v>47</v>
      </c>
      <c r="K2979" s="15" t="s">
        <v>64</v>
      </c>
      <c r="L2979" s="56"/>
      <c r="M2979" s="14"/>
      <c r="N2979" s="14" t="s">
        <v>91</v>
      </c>
      <c r="O2979" s="14"/>
      <c r="P2979" s="15" t="s">
        <v>2856</v>
      </c>
      <c r="Q2979" s="16">
        <v>2699</v>
      </c>
      <c r="R2979" s="17">
        <v>40</v>
      </c>
      <c r="S2979" s="18">
        <v>1862.31</v>
      </c>
      <c r="T2979" s="19" t="s">
        <v>36</v>
      </c>
      <c r="U2979" s="20" t="s">
        <v>69</v>
      </c>
      <c r="V2979" s="21" t="s">
        <v>70</v>
      </c>
      <c r="W2979" s="22">
        <v>4</v>
      </c>
      <c r="X2979" s="23"/>
    </row>
    <row r="2980" spans="1:24" s="1" customFormat="1" ht="35.1" customHeight="1" x14ac:dyDescent="0.3">
      <c r="A2980" s="24" t="s">
        <v>23</v>
      </c>
      <c r="B2980" s="24" t="s">
        <v>2825</v>
      </c>
      <c r="C2980" s="12" t="s">
        <v>3286</v>
      </c>
      <c r="D2980" s="54"/>
      <c r="E2980" s="39" t="str">
        <f>HYPERLINK("https://www.google.ru/search?q=6010592-466&amp;newwindow=1&amp;tbm=isch","Еще фото")</f>
        <v>Еще фото</v>
      </c>
      <c r="F2980" s="13"/>
      <c r="G2980" s="24" t="s">
        <v>2788</v>
      </c>
      <c r="H2980" s="24" t="s">
        <v>27</v>
      </c>
      <c r="I2980" s="24" t="s">
        <v>2784</v>
      </c>
      <c r="J2980" s="14" t="s">
        <v>47</v>
      </c>
      <c r="K2980" s="15" t="s">
        <v>64</v>
      </c>
      <c r="L2980" s="57"/>
      <c r="M2980" s="14"/>
      <c r="N2980" s="14" t="s">
        <v>91</v>
      </c>
      <c r="O2980" s="14"/>
      <c r="P2980" s="15" t="s">
        <v>2856</v>
      </c>
      <c r="Q2980" s="16">
        <v>2699</v>
      </c>
      <c r="R2980" s="17">
        <v>40</v>
      </c>
      <c r="S2980" s="18">
        <v>1862.31</v>
      </c>
      <c r="T2980" s="19" t="s">
        <v>36</v>
      </c>
      <c r="U2980" s="20" t="s">
        <v>37</v>
      </c>
      <c r="V2980" s="21" t="s">
        <v>86</v>
      </c>
      <c r="W2980" s="22">
        <v>9</v>
      </c>
      <c r="X2980" s="23"/>
    </row>
    <row r="2981" spans="1:24" s="1" customFormat="1" ht="36.950000000000003" customHeight="1" x14ac:dyDescent="0.3">
      <c r="A2981" s="24" t="s">
        <v>23</v>
      </c>
      <c r="B2981" s="24" t="s">
        <v>2825</v>
      </c>
      <c r="C2981" s="12" t="s">
        <v>3286</v>
      </c>
      <c r="D2981" s="55"/>
      <c r="E2981" s="39" t="str">
        <f>HYPERLINK("https://www.google.ru/search?q=6010592-466&amp;newwindow=1&amp;tbm=isch","Еще фото")</f>
        <v>Еще фото</v>
      </c>
      <c r="F2981" s="13"/>
      <c r="G2981" s="24" t="s">
        <v>2788</v>
      </c>
      <c r="H2981" s="24" t="s">
        <v>27</v>
      </c>
      <c r="I2981" s="24" t="s">
        <v>2784</v>
      </c>
      <c r="J2981" s="14" t="s">
        <v>47</v>
      </c>
      <c r="K2981" s="15" t="s">
        <v>64</v>
      </c>
      <c r="L2981" s="58"/>
      <c r="M2981" s="14"/>
      <c r="N2981" s="14" t="s">
        <v>91</v>
      </c>
      <c r="O2981" s="14"/>
      <c r="P2981" s="15" t="s">
        <v>2856</v>
      </c>
      <c r="Q2981" s="16">
        <v>2699</v>
      </c>
      <c r="R2981" s="17">
        <v>40</v>
      </c>
      <c r="S2981" s="18">
        <v>1862.31</v>
      </c>
      <c r="T2981" s="19" t="s">
        <v>36</v>
      </c>
      <c r="U2981" s="20" t="s">
        <v>41</v>
      </c>
      <c r="V2981" s="21" t="s">
        <v>40</v>
      </c>
      <c r="W2981" s="22">
        <v>1</v>
      </c>
      <c r="X2981" s="23"/>
    </row>
    <row r="2982" spans="1:24" s="1" customFormat="1" ht="51.95" customHeight="1" x14ac:dyDescent="0.3">
      <c r="A2982" s="11" t="s">
        <v>23</v>
      </c>
      <c r="B2982" s="11" t="s">
        <v>3117</v>
      </c>
      <c r="C2982" s="12" t="s">
        <v>3287</v>
      </c>
      <c r="D2982" s="59"/>
      <c r="E2982" s="39" t="str">
        <f>HYPERLINK("https://www.google.ru/search?q=6010603-425&amp;newwindow=1&amp;tbm=isch","Еще фото")</f>
        <v>Еще фото</v>
      </c>
      <c r="F2982" s="13"/>
      <c r="G2982" s="11" t="s">
        <v>2788</v>
      </c>
      <c r="H2982" s="11" t="s">
        <v>27</v>
      </c>
      <c r="I2982" s="14" t="s">
        <v>2784</v>
      </c>
      <c r="J2982" s="14" t="s">
        <v>29</v>
      </c>
      <c r="K2982" s="15" t="s">
        <v>30</v>
      </c>
      <c r="L2982" s="56"/>
      <c r="M2982" s="14"/>
      <c r="N2982" s="14" t="s">
        <v>50</v>
      </c>
      <c r="O2982" s="14"/>
      <c r="P2982" s="15" t="s">
        <v>3288</v>
      </c>
      <c r="Q2982" s="16">
        <v>4899</v>
      </c>
      <c r="R2982" s="17">
        <v>40</v>
      </c>
      <c r="S2982" s="18">
        <v>3380.31</v>
      </c>
      <c r="T2982" s="19" t="s">
        <v>36</v>
      </c>
      <c r="U2982" s="20" t="s">
        <v>41</v>
      </c>
      <c r="V2982" s="21" t="s">
        <v>42</v>
      </c>
      <c r="W2982" s="22">
        <v>1</v>
      </c>
      <c r="X2982" s="23"/>
    </row>
    <row r="2983" spans="1:24" s="1" customFormat="1" ht="60.95" customHeight="1" x14ac:dyDescent="0.3">
      <c r="A2983" s="24" t="s">
        <v>23</v>
      </c>
      <c r="B2983" s="24" t="s">
        <v>3117</v>
      </c>
      <c r="C2983" s="12" t="s">
        <v>3287</v>
      </c>
      <c r="D2983" s="60"/>
      <c r="E2983" s="39" t="str">
        <f>HYPERLINK("https://www.google.ru/search?q=6010603-425&amp;newwindow=1&amp;tbm=isch","Еще фото")</f>
        <v>Еще фото</v>
      </c>
      <c r="F2983" s="13"/>
      <c r="G2983" s="24" t="s">
        <v>2788</v>
      </c>
      <c r="H2983" s="24" t="s">
        <v>27</v>
      </c>
      <c r="I2983" s="24" t="s">
        <v>2784</v>
      </c>
      <c r="J2983" s="14" t="s">
        <v>29</v>
      </c>
      <c r="K2983" s="15" t="s">
        <v>30</v>
      </c>
      <c r="L2983" s="58"/>
      <c r="M2983" s="14"/>
      <c r="N2983" s="14" t="s">
        <v>50</v>
      </c>
      <c r="O2983" s="14"/>
      <c r="P2983" s="15" t="s">
        <v>3288</v>
      </c>
      <c r="Q2983" s="16">
        <v>4899</v>
      </c>
      <c r="R2983" s="17">
        <v>40</v>
      </c>
      <c r="S2983" s="18">
        <v>3380.31</v>
      </c>
      <c r="T2983" s="19" t="s">
        <v>36</v>
      </c>
      <c r="U2983" s="20" t="s">
        <v>43</v>
      </c>
      <c r="V2983" s="21" t="s">
        <v>44</v>
      </c>
      <c r="W2983" s="22">
        <v>2</v>
      </c>
      <c r="X2983" s="23"/>
    </row>
    <row r="2984" spans="1:24" s="1" customFormat="1" ht="108" customHeight="1" x14ac:dyDescent="0.3">
      <c r="A2984" s="11" t="s">
        <v>23</v>
      </c>
      <c r="B2984" s="11" t="s">
        <v>3117</v>
      </c>
      <c r="C2984" s="12" t="s">
        <v>3289</v>
      </c>
      <c r="D2984" s="25"/>
      <c r="E2984" s="39" t="str">
        <f>HYPERLINK("https://www.google.ru/search?q=6010603-709&amp;newwindow=1&amp;tbm=isch","Еще фото")</f>
        <v>Еще фото</v>
      </c>
      <c r="F2984" s="13"/>
      <c r="G2984" s="11" t="s">
        <v>2788</v>
      </c>
      <c r="H2984" s="11" t="s">
        <v>27</v>
      </c>
      <c r="I2984" s="14" t="s">
        <v>2784</v>
      </c>
      <c r="J2984" s="14" t="s">
        <v>29</v>
      </c>
      <c r="K2984" s="15" t="s">
        <v>30</v>
      </c>
      <c r="L2984" s="14" t="s">
        <v>3290</v>
      </c>
      <c r="M2984" s="14"/>
      <c r="N2984" s="14" t="s">
        <v>125</v>
      </c>
      <c r="O2984" s="14"/>
      <c r="P2984" s="15" t="s">
        <v>3288</v>
      </c>
      <c r="Q2984" s="16">
        <v>4899</v>
      </c>
      <c r="R2984" s="17">
        <v>40</v>
      </c>
      <c r="S2984" s="18">
        <v>3380.31</v>
      </c>
      <c r="T2984" s="19" t="s">
        <v>36</v>
      </c>
      <c r="U2984" s="20" t="s">
        <v>41</v>
      </c>
      <c r="V2984" s="21" t="s">
        <v>42</v>
      </c>
      <c r="W2984" s="22">
        <v>1</v>
      </c>
      <c r="X2984" s="23"/>
    </row>
    <row r="2985" spans="1:24" s="1" customFormat="1" ht="51.95" customHeight="1" x14ac:dyDescent="0.3">
      <c r="A2985" s="11" t="s">
        <v>23</v>
      </c>
      <c r="B2985" s="11" t="s">
        <v>3291</v>
      </c>
      <c r="C2985" s="12" t="s">
        <v>3292</v>
      </c>
      <c r="D2985" s="59"/>
      <c r="E2985" s="39" t="str">
        <f>HYPERLINK("https://www.google.ru/search?q=6010870-338&amp;newwindow=1&amp;tbm=isch","Еще фото")</f>
        <v>Еще фото</v>
      </c>
      <c r="F2985" s="13"/>
      <c r="G2985" s="11" t="s">
        <v>2788</v>
      </c>
      <c r="H2985" s="11" t="s">
        <v>27</v>
      </c>
      <c r="I2985" s="14" t="s">
        <v>2784</v>
      </c>
      <c r="J2985" s="14" t="s">
        <v>29</v>
      </c>
      <c r="K2985" s="15" t="s">
        <v>64</v>
      </c>
      <c r="L2985" s="56"/>
      <c r="M2985" s="14"/>
      <c r="N2985" s="14" t="s">
        <v>125</v>
      </c>
      <c r="O2985" s="14"/>
      <c r="P2985" s="15" t="s">
        <v>185</v>
      </c>
      <c r="Q2985" s="16">
        <v>3299</v>
      </c>
      <c r="R2985" s="17">
        <v>40</v>
      </c>
      <c r="S2985" s="18">
        <v>2276.31</v>
      </c>
      <c r="T2985" s="19" t="s">
        <v>36</v>
      </c>
      <c r="U2985" s="20" t="s">
        <v>69</v>
      </c>
      <c r="V2985" s="21" t="s">
        <v>70</v>
      </c>
      <c r="W2985" s="22">
        <v>1</v>
      </c>
      <c r="X2985" s="23"/>
    </row>
    <row r="2986" spans="1:24" s="1" customFormat="1" ht="60.95" customHeight="1" x14ac:dyDescent="0.3">
      <c r="A2986" s="24" t="s">
        <v>23</v>
      </c>
      <c r="B2986" s="24" t="s">
        <v>3291</v>
      </c>
      <c r="C2986" s="12" t="s">
        <v>3292</v>
      </c>
      <c r="D2986" s="60"/>
      <c r="E2986" s="39" t="str">
        <f>HYPERLINK("https://www.google.ru/search?q=6010870-338&amp;newwindow=1&amp;tbm=isch","Еще фото")</f>
        <v>Еще фото</v>
      </c>
      <c r="F2986" s="13"/>
      <c r="G2986" s="24" t="s">
        <v>2788</v>
      </c>
      <c r="H2986" s="24" t="s">
        <v>27</v>
      </c>
      <c r="I2986" s="24" t="s">
        <v>2784</v>
      </c>
      <c r="J2986" s="14" t="s">
        <v>29</v>
      </c>
      <c r="K2986" s="15" t="s">
        <v>64</v>
      </c>
      <c r="L2986" s="58"/>
      <c r="M2986" s="14"/>
      <c r="N2986" s="14" t="s">
        <v>125</v>
      </c>
      <c r="O2986" s="14"/>
      <c r="P2986" s="15" t="s">
        <v>185</v>
      </c>
      <c r="Q2986" s="16">
        <v>3299</v>
      </c>
      <c r="R2986" s="17">
        <v>40</v>
      </c>
      <c r="S2986" s="18">
        <v>2276.31</v>
      </c>
      <c r="T2986" s="19" t="s">
        <v>36</v>
      </c>
      <c r="U2986" s="20" t="s">
        <v>41</v>
      </c>
      <c r="V2986" s="21" t="s">
        <v>40</v>
      </c>
      <c r="W2986" s="22">
        <v>4</v>
      </c>
      <c r="X2986" s="23"/>
    </row>
    <row r="2987" spans="1:24" s="1" customFormat="1" ht="108" customHeight="1" x14ac:dyDescent="0.3">
      <c r="A2987" s="11" t="s">
        <v>23</v>
      </c>
      <c r="B2987" s="11" t="s">
        <v>3293</v>
      </c>
      <c r="C2987" s="12" t="s">
        <v>3294</v>
      </c>
      <c r="D2987" s="25"/>
      <c r="E2987" s="39" t="str">
        <f>HYPERLINK("https://www.google.ru/search?q=6010922-014&amp;newwindow=1&amp;tbm=isch","Еще фото")</f>
        <v>Еще фото</v>
      </c>
      <c r="F2987" s="13" t="s">
        <v>98</v>
      </c>
      <c r="G2987" s="11" t="s">
        <v>2783</v>
      </c>
      <c r="H2987" s="11" t="s">
        <v>27</v>
      </c>
      <c r="I2987" s="14" t="s">
        <v>2784</v>
      </c>
      <c r="J2987" s="14" t="s">
        <v>892</v>
      </c>
      <c r="K2987" s="15" t="s">
        <v>30</v>
      </c>
      <c r="L2987" s="14" t="s">
        <v>3295</v>
      </c>
      <c r="M2987" s="14"/>
      <c r="N2987" s="14" t="s">
        <v>84</v>
      </c>
      <c r="O2987" s="14"/>
      <c r="P2987" s="15" t="s">
        <v>312</v>
      </c>
      <c r="Q2987" s="16">
        <v>6899</v>
      </c>
      <c r="R2987" s="17">
        <v>40</v>
      </c>
      <c r="S2987" s="18">
        <v>4760.3099999999995</v>
      </c>
      <c r="T2987" s="19" t="s">
        <v>36</v>
      </c>
      <c r="U2987" s="20" t="s">
        <v>39</v>
      </c>
      <c r="V2987" s="21" t="s">
        <v>40</v>
      </c>
      <c r="W2987" s="22">
        <v>2</v>
      </c>
      <c r="X2987" s="23"/>
    </row>
    <row r="2988" spans="1:24" s="1" customFormat="1" ht="51.95" customHeight="1" x14ac:dyDescent="0.3">
      <c r="A2988" s="11" t="s">
        <v>23</v>
      </c>
      <c r="B2988" s="11" t="s">
        <v>3296</v>
      </c>
      <c r="C2988" s="12" t="s">
        <v>3297</v>
      </c>
      <c r="D2988" s="59"/>
      <c r="E2988" s="39" t="str">
        <f>HYPERLINK("https://www.google.ru/search?q=6011075-100&amp;newwindow=1&amp;tbm=isch","Еще фото")</f>
        <v>Еще фото</v>
      </c>
      <c r="F2988" s="13"/>
      <c r="G2988" s="11" t="s">
        <v>2788</v>
      </c>
      <c r="H2988" s="11" t="s">
        <v>27</v>
      </c>
      <c r="I2988" s="14" t="s">
        <v>2784</v>
      </c>
      <c r="J2988" s="14" t="s">
        <v>47</v>
      </c>
      <c r="K2988" s="15" t="s">
        <v>30</v>
      </c>
      <c r="L2988" s="56"/>
      <c r="M2988" s="14"/>
      <c r="N2988" s="14" t="s">
        <v>74</v>
      </c>
      <c r="O2988" s="14"/>
      <c r="P2988" s="15" t="s">
        <v>2601</v>
      </c>
      <c r="Q2988" s="16">
        <v>2899</v>
      </c>
      <c r="R2988" s="17">
        <v>40</v>
      </c>
      <c r="S2988" s="18">
        <v>2000.31</v>
      </c>
      <c r="T2988" s="19" t="s">
        <v>36</v>
      </c>
      <c r="U2988" s="20" t="s">
        <v>41</v>
      </c>
      <c r="V2988" s="21" t="s">
        <v>42</v>
      </c>
      <c r="W2988" s="22">
        <v>1</v>
      </c>
      <c r="X2988" s="23"/>
    </row>
    <row r="2989" spans="1:24" s="1" customFormat="1" ht="60.95" customHeight="1" x14ac:dyDescent="0.3">
      <c r="A2989" s="24" t="s">
        <v>23</v>
      </c>
      <c r="B2989" s="24" t="s">
        <v>3296</v>
      </c>
      <c r="C2989" s="12" t="s">
        <v>3297</v>
      </c>
      <c r="D2989" s="60"/>
      <c r="E2989" s="39" t="str">
        <f>HYPERLINK("https://www.google.ru/search?q=6011075-100&amp;newwindow=1&amp;tbm=isch","Еще фото")</f>
        <v>Еще фото</v>
      </c>
      <c r="F2989" s="13"/>
      <c r="G2989" s="24" t="s">
        <v>2788</v>
      </c>
      <c r="H2989" s="24" t="s">
        <v>27</v>
      </c>
      <c r="I2989" s="24" t="s">
        <v>2784</v>
      </c>
      <c r="J2989" s="14" t="s">
        <v>47</v>
      </c>
      <c r="K2989" s="15" t="s">
        <v>30</v>
      </c>
      <c r="L2989" s="58"/>
      <c r="M2989" s="14"/>
      <c r="N2989" s="14" t="s">
        <v>74</v>
      </c>
      <c r="O2989" s="14"/>
      <c r="P2989" s="15" t="s">
        <v>2601</v>
      </c>
      <c r="Q2989" s="16">
        <v>2899</v>
      </c>
      <c r="R2989" s="17">
        <v>40</v>
      </c>
      <c r="S2989" s="18">
        <v>2000.31</v>
      </c>
      <c r="T2989" s="19" t="s">
        <v>36</v>
      </c>
      <c r="U2989" s="20" t="s">
        <v>104</v>
      </c>
      <c r="V2989" s="21" t="s">
        <v>105</v>
      </c>
      <c r="W2989" s="22">
        <v>2</v>
      </c>
      <c r="X2989" s="23"/>
    </row>
    <row r="2990" spans="1:24" s="1" customFormat="1" ht="51.95" customHeight="1" x14ac:dyDescent="0.3">
      <c r="A2990" s="11" t="s">
        <v>23</v>
      </c>
      <c r="B2990" s="11" t="s">
        <v>3296</v>
      </c>
      <c r="C2990" s="12" t="s">
        <v>3298</v>
      </c>
      <c r="D2990" s="59"/>
      <c r="E2990" s="39" t="str">
        <f>HYPERLINK("https://www.google.ru/search?q=6011075-425&amp;newwindow=1&amp;tbm=isch","Еще фото")</f>
        <v>Еще фото</v>
      </c>
      <c r="F2990" s="13"/>
      <c r="G2990" s="11" t="s">
        <v>2788</v>
      </c>
      <c r="H2990" s="11" t="s">
        <v>27</v>
      </c>
      <c r="I2990" s="14" t="s">
        <v>2784</v>
      </c>
      <c r="J2990" s="14" t="s">
        <v>47</v>
      </c>
      <c r="K2990" s="15" t="s">
        <v>30</v>
      </c>
      <c r="L2990" s="56"/>
      <c r="M2990" s="14"/>
      <c r="N2990" s="14" t="s">
        <v>50</v>
      </c>
      <c r="O2990" s="14"/>
      <c r="P2990" s="15" t="s">
        <v>2601</v>
      </c>
      <c r="Q2990" s="16">
        <v>2899</v>
      </c>
      <c r="R2990" s="17">
        <v>40</v>
      </c>
      <c r="S2990" s="18">
        <v>2000.31</v>
      </c>
      <c r="T2990" s="19" t="s">
        <v>36</v>
      </c>
      <c r="U2990" s="20" t="s">
        <v>37</v>
      </c>
      <c r="V2990" s="21" t="s">
        <v>38</v>
      </c>
      <c r="W2990" s="22">
        <v>2</v>
      </c>
      <c r="X2990" s="23"/>
    </row>
    <row r="2991" spans="1:24" s="1" customFormat="1" ht="60.95" customHeight="1" x14ac:dyDescent="0.3">
      <c r="A2991" s="24" t="s">
        <v>23</v>
      </c>
      <c r="B2991" s="24" t="s">
        <v>3296</v>
      </c>
      <c r="C2991" s="12" t="s">
        <v>3298</v>
      </c>
      <c r="D2991" s="60"/>
      <c r="E2991" s="39" t="str">
        <f>HYPERLINK("https://www.google.ru/search?q=6011075-425&amp;newwindow=1&amp;tbm=isch","Еще фото")</f>
        <v>Еще фото</v>
      </c>
      <c r="F2991" s="13"/>
      <c r="G2991" s="24" t="s">
        <v>2788</v>
      </c>
      <c r="H2991" s="24" t="s">
        <v>27</v>
      </c>
      <c r="I2991" s="24" t="s">
        <v>2784</v>
      </c>
      <c r="J2991" s="14" t="s">
        <v>47</v>
      </c>
      <c r="K2991" s="15" t="s">
        <v>30</v>
      </c>
      <c r="L2991" s="58"/>
      <c r="M2991" s="14"/>
      <c r="N2991" s="14" t="s">
        <v>50</v>
      </c>
      <c r="O2991" s="14"/>
      <c r="P2991" s="15" t="s">
        <v>2601</v>
      </c>
      <c r="Q2991" s="16">
        <v>2899</v>
      </c>
      <c r="R2991" s="17">
        <v>40</v>
      </c>
      <c r="S2991" s="18">
        <v>2000.31</v>
      </c>
      <c r="T2991" s="19" t="s">
        <v>36</v>
      </c>
      <c r="U2991" s="20" t="s">
        <v>39</v>
      </c>
      <c r="V2991" s="21" t="s">
        <v>40</v>
      </c>
      <c r="W2991" s="22">
        <v>2</v>
      </c>
      <c r="X2991" s="23"/>
    </row>
    <row r="2992" spans="1:24" s="1" customFormat="1" ht="108" customHeight="1" x14ac:dyDescent="0.3">
      <c r="A2992" s="11" t="s">
        <v>23</v>
      </c>
      <c r="B2992" s="11" t="s">
        <v>3299</v>
      </c>
      <c r="C2992" s="12" t="s">
        <v>3300</v>
      </c>
      <c r="D2992" s="25"/>
      <c r="E2992" s="39" t="str">
        <f>HYPERLINK("https://www.google.ru/search?q=6011077-709&amp;newwindow=1&amp;tbm=isch","Еще фото")</f>
        <v>Еще фото</v>
      </c>
      <c r="F2992" s="13"/>
      <c r="G2992" s="11" t="s">
        <v>2788</v>
      </c>
      <c r="H2992" s="11" t="s">
        <v>27</v>
      </c>
      <c r="I2992" s="14" t="s">
        <v>2784</v>
      </c>
      <c r="J2992" s="14" t="s">
        <v>840</v>
      </c>
      <c r="K2992" s="15" t="s">
        <v>30</v>
      </c>
      <c r="L2992" s="14" t="s">
        <v>3301</v>
      </c>
      <c r="M2992" s="14"/>
      <c r="N2992" s="14" t="s">
        <v>125</v>
      </c>
      <c r="O2992" s="14"/>
      <c r="P2992" s="15" t="s">
        <v>2601</v>
      </c>
      <c r="Q2992" s="16">
        <v>3999</v>
      </c>
      <c r="R2992" s="17">
        <v>40</v>
      </c>
      <c r="S2992" s="18">
        <v>2759.31</v>
      </c>
      <c r="T2992" s="19" t="s">
        <v>36</v>
      </c>
      <c r="U2992" s="20" t="s">
        <v>41</v>
      </c>
      <c r="V2992" s="21" t="s">
        <v>42</v>
      </c>
      <c r="W2992" s="22">
        <v>1</v>
      </c>
      <c r="X2992" s="23"/>
    </row>
    <row r="2993" spans="1:24" s="1" customFormat="1" ht="26.1" customHeight="1" x14ac:dyDescent="0.3">
      <c r="A2993" s="11" t="s">
        <v>23</v>
      </c>
      <c r="B2993" s="11" t="s">
        <v>3302</v>
      </c>
      <c r="C2993" s="12" t="s">
        <v>3303</v>
      </c>
      <c r="D2993" s="53"/>
      <c r="E2993" s="39" t="str">
        <f>HYPERLINK("https://www.google.ru/search?q=6011246-800&amp;newwindow=1&amp;tbm=isch","Еще фото")</f>
        <v>Еще фото</v>
      </c>
      <c r="F2993" s="13"/>
      <c r="G2993" s="11" t="s">
        <v>2788</v>
      </c>
      <c r="H2993" s="11" t="s">
        <v>27</v>
      </c>
      <c r="I2993" s="14" t="s">
        <v>2784</v>
      </c>
      <c r="J2993" s="14" t="s">
        <v>892</v>
      </c>
      <c r="K2993" s="15" t="s">
        <v>30</v>
      </c>
      <c r="L2993" s="56" t="s">
        <v>3304</v>
      </c>
      <c r="M2993" s="14"/>
      <c r="N2993" s="14" t="s">
        <v>434</v>
      </c>
      <c r="O2993" s="14"/>
      <c r="P2993" s="15" t="s">
        <v>764</v>
      </c>
      <c r="Q2993" s="16">
        <v>5299</v>
      </c>
      <c r="R2993" s="17">
        <v>40</v>
      </c>
      <c r="S2993" s="18">
        <v>3656.31</v>
      </c>
      <c r="T2993" s="19" t="s">
        <v>36</v>
      </c>
      <c r="U2993" s="20" t="s">
        <v>37</v>
      </c>
      <c r="V2993" s="21" t="s">
        <v>38</v>
      </c>
      <c r="W2993" s="22">
        <v>3</v>
      </c>
      <c r="X2993" s="23"/>
    </row>
    <row r="2994" spans="1:24" s="1" customFormat="1" ht="26.1" customHeight="1" x14ac:dyDescent="0.3">
      <c r="A2994" s="24" t="s">
        <v>23</v>
      </c>
      <c r="B2994" s="24" t="s">
        <v>3302</v>
      </c>
      <c r="C2994" s="12" t="s">
        <v>3303</v>
      </c>
      <c r="D2994" s="54"/>
      <c r="E2994" s="39" t="str">
        <f>HYPERLINK("https://www.google.ru/search?q=6011246-800&amp;newwindow=1&amp;tbm=isch","Еще фото")</f>
        <v>Еще фото</v>
      </c>
      <c r="F2994" s="13"/>
      <c r="G2994" s="24" t="s">
        <v>2788</v>
      </c>
      <c r="H2994" s="24" t="s">
        <v>27</v>
      </c>
      <c r="I2994" s="24" t="s">
        <v>2784</v>
      </c>
      <c r="J2994" s="14" t="s">
        <v>892</v>
      </c>
      <c r="K2994" s="15" t="s">
        <v>30</v>
      </c>
      <c r="L2994" s="57"/>
      <c r="M2994" s="14"/>
      <c r="N2994" s="14" t="s">
        <v>434</v>
      </c>
      <c r="O2994" s="14"/>
      <c r="P2994" s="15" t="s">
        <v>764</v>
      </c>
      <c r="Q2994" s="16">
        <v>5299</v>
      </c>
      <c r="R2994" s="17">
        <v>40</v>
      </c>
      <c r="S2994" s="18">
        <v>3656.31</v>
      </c>
      <c r="T2994" s="19" t="s">
        <v>36</v>
      </c>
      <c r="U2994" s="20" t="s">
        <v>39</v>
      </c>
      <c r="V2994" s="21" t="s">
        <v>40</v>
      </c>
      <c r="W2994" s="22">
        <v>10</v>
      </c>
      <c r="X2994" s="23"/>
    </row>
    <row r="2995" spans="1:24" s="1" customFormat="1" ht="26.1" customHeight="1" x14ac:dyDescent="0.3">
      <c r="A2995" s="24" t="s">
        <v>23</v>
      </c>
      <c r="B2995" s="24" t="s">
        <v>3302</v>
      </c>
      <c r="C2995" s="12" t="s">
        <v>3303</v>
      </c>
      <c r="D2995" s="54"/>
      <c r="E2995" s="39" t="str">
        <f>HYPERLINK("https://www.google.ru/search?q=6011246-800&amp;newwindow=1&amp;tbm=isch","Еще фото")</f>
        <v>Еще фото</v>
      </c>
      <c r="F2995" s="13"/>
      <c r="G2995" s="24" t="s">
        <v>2788</v>
      </c>
      <c r="H2995" s="24" t="s">
        <v>27</v>
      </c>
      <c r="I2995" s="24" t="s">
        <v>2784</v>
      </c>
      <c r="J2995" s="14" t="s">
        <v>892</v>
      </c>
      <c r="K2995" s="15" t="s">
        <v>30</v>
      </c>
      <c r="L2995" s="57"/>
      <c r="M2995" s="14"/>
      <c r="N2995" s="14" t="s">
        <v>434</v>
      </c>
      <c r="O2995" s="14"/>
      <c r="P2995" s="15" t="s">
        <v>764</v>
      </c>
      <c r="Q2995" s="16">
        <v>5299</v>
      </c>
      <c r="R2995" s="17">
        <v>40</v>
      </c>
      <c r="S2995" s="18">
        <v>3656.31</v>
      </c>
      <c r="T2995" s="19" t="s">
        <v>36</v>
      </c>
      <c r="U2995" s="20" t="s">
        <v>41</v>
      </c>
      <c r="V2995" s="21" t="s">
        <v>42</v>
      </c>
      <c r="W2995" s="22">
        <v>3</v>
      </c>
      <c r="X2995" s="23"/>
    </row>
    <row r="2996" spans="1:24" s="1" customFormat="1" ht="26.1" customHeight="1" x14ac:dyDescent="0.3">
      <c r="A2996" s="24" t="s">
        <v>23</v>
      </c>
      <c r="B2996" s="24" t="s">
        <v>3302</v>
      </c>
      <c r="C2996" s="12" t="s">
        <v>3303</v>
      </c>
      <c r="D2996" s="55"/>
      <c r="E2996" s="39" t="str">
        <f>HYPERLINK("https://www.google.ru/search?q=6011246-800&amp;newwindow=1&amp;tbm=isch","Еще фото")</f>
        <v>Еще фото</v>
      </c>
      <c r="F2996" s="13"/>
      <c r="G2996" s="24" t="s">
        <v>2788</v>
      </c>
      <c r="H2996" s="24" t="s">
        <v>27</v>
      </c>
      <c r="I2996" s="24" t="s">
        <v>2784</v>
      </c>
      <c r="J2996" s="14" t="s">
        <v>892</v>
      </c>
      <c r="K2996" s="15" t="s">
        <v>30</v>
      </c>
      <c r="L2996" s="58"/>
      <c r="M2996" s="14"/>
      <c r="N2996" s="14" t="s">
        <v>434</v>
      </c>
      <c r="O2996" s="14"/>
      <c r="P2996" s="15" t="s">
        <v>764</v>
      </c>
      <c r="Q2996" s="16">
        <v>5299</v>
      </c>
      <c r="R2996" s="17">
        <v>40</v>
      </c>
      <c r="S2996" s="18">
        <v>3656.31</v>
      </c>
      <c r="T2996" s="19" t="s">
        <v>36</v>
      </c>
      <c r="U2996" s="20" t="s">
        <v>43</v>
      </c>
      <c r="V2996" s="21" t="s">
        <v>44</v>
      </c>
      <c r="W2996" s="22">
        <v>3</v>
      </c>
      <c r="X2996" s="23"/>
    </row>
    <row r="2997" spans="1:24" s="1" customFormat="1" ht="108" customHeight="1" x14ac:dyDescent="0.3">
      <c r="A2997" s="11" t="s">
        <v>23</v>
      </c>
      <c r="B2997" s="11" t="s">
        <v>3305</v>
      </c>
      <c r="C2997" s="12" t="s">
        <v>3306</v>
      </c>
      <c r="D2997" s="25"/>
      <c r="E2997" s="39" t="str">
        <f>HYPERLINK("https://www.google.ru/search?q=6011506-110&amp;newwindow=1&amp;tbm=isch","Еще фото")</f>
        <v>Еще фото</v>
      </c>
      <c r="F2997" s="13"/>
      <c r="G2997" s="11" t="s">
        <v>2788</v>
      </c>
      <c r="H2997" s="11" t="s">
        <v>27</v>
      </c>
      <c r="I2997" s="14" t="s">
        <v>2784</v>
      </c>
      <c r="J2997" s="14" t="s">
        <v>47</v>
      </c>
      <c r="K2997" s="15" t="s">
        <v>64</v>
      </c>
      <c r="L2997" s="14" t="s">
        <v>3307</v>
      </c>
      <c r="M2997" s="14"/>
      <c r="N2997" s="14" t="s">
        <v>215</v>
      </c>
      <c r="O2997" s="14"/>
      <c r="P2997" s="15" t="s">
        <v>2601</v>
      </c>
      <c r="Q2997" s="16">
        <v>2799</v>
      </c>
      <c r="R2997" s="17">
        <v>40</v>
      </c>
      <c r="S2997" s="18">
        <v>1931.31</v>
      </c>
      <c r="T2997" s="19" t="s">
        <v>36</v>
      </c>
      <c r="U2997" s="20" t="s">
        <v>39</v>
      </c>
      <c r="V2997" s="21" t="s">
        <v>38</v>
      </c>
      <c r="W2997" s="22">
        <v>1</v>
      </c>
      <c r="X2997" s="23"/>
    </row>
    <row r="2998" spans="1:24" s="1" customFormat="1" ht="35.1" customHeight="1" x14ac:dyDescent="0.3">
      <c r="A2998" s="11" t="s">
        <v>23</v>
      </c>
      <c r="B2998" s="11" t="s">
        <v>3308</v>
      </c>
      <c r="C2998" s="12" t="s">
        <v>3309</v>
      </c>
      <c r="D2998" s="53"/>
      <c r="E2998" s="39" t="str">
        <f>HYPERLINK("https://www.google.ru/search?q=6012302-669&amp;newwindow=1&amp;tbm=isch","Еще фото")</f>
        <v>Еще фото</v>
      </c>
      <c r="F2998" s="13"/>
      <c r="G2998" s="11" t="s">
        <v>2788</v>
      </c>
      <c r="H2998" s="11" t="s">
        <v>27</v>
      </c>
      <c r="I2998" s="14" t="s">
        <v>2784</v>
      </c>
      <c r="J2998" s="14" t="s">
        <v>29</v>
      </c>
      <c r="K2998" s="15" t="s">
        <v>64</v>
      </c>
      <c r="L2998" s="56" t="s">
        <v>3310</v>
      </c>
      <c r="M2998" s="14"/>
      <c r="N2998" s="14" t="s">
        <v>57</v>
      </c>
      <c r="O2998" s="14"/>
      <c r="P2998" s="15" t="s">
        <v>51</v>
      </c>
      <c r="Q2998" s="16">
        <v>3299</v>
      </c>
      <c r="R2998" s="17">
        <v>40</v>
      </c>
      <c r="S2998" s="18">
        <v>2276.31</v>
      </c>
      <c r="T2998" s="19" t="s">
        <v>36</v>
      </c>
      <c r="U2998" s="20" t="s">
        <v>69</v>
      </c>
      <c r="V2998" s="21" t="s">
        <v>70</v>
      </c>
      <c r="W2998" s="22">
        <v>1</v>
      </c>
      <c r="X2998" s="23"/>
    </row>
    <row r="2999" spans="1:24" s="1" customFormat="1" ht="35.1" customHeight="1" x14ac:dyDescent="0.3">
      <c r="A2999" s="24" t="s">
        <v>23</v>
      </c>
      <c r="B2999" s="24" t="s">
        <v>3308</v>
      </c>
      <c r="C2999" s="12" t="s">
        <v>3309</v>
      </c>
      <c r="D2999" s="54"/>
      <c r="E2999" s="39" t="str">
        <f>HYPERLINK("https://www.google.ru/search?q=6012302-669&amp;newwindow=1&amp;tbm=isch","Еще фото")</f>
        <v>Еще фото</v>
      </c>
      <c r="F2999" s="13"/>
      <c r="G2999" s="24" t="s">
        <v>2788</v>
      </c>
      <c r="H2999" s="24" t="s">
        <v>27</v>
      </c>
      <c r="I2999" s="24" t="s">
        <v>2784</v>
      </c>
      <c r="J2999" s="14" t="s">
        <v>29</v>
      </c>
      <c r="K2999" s="15" t="s">
        <v>64</v>
      </c>
      <c r="L2999" s="57"/>
      <c r="M2999" s="14"/>
      <c r="N2999" s="14" t="s">
        <v>57</v>
      </c>
      <c r="O2999" s="14"/>
      <c r="P2999" s="15" t="s">
        <v>51</v>
      </c>
      <c r="Q2999" s="16">
        <v>3299</v>
      </c>
      <c r="R2999" s="17">
        <v>40</v>
      </c>
      <c r="S2999" s="18">
        <v>2276.31</v>
      </c>
      <c r="T2999" s="19" t="s">
        <v>36</v>
      </c>
      <c r="U2999" s="20" t="s">
        <v>37</v>
      </c>
      <c r="V2999" s="21" t="s">
        <v>86</v>
      </c>
      <c r="W2999" s="22">
        <v>5</v>
      </c>
      <c r="X2999" s="23"/>
    </row>
    <row r="3000" spans="1:24" s="1" customFormat="1" ht="36.950000000000003" customHeight="1" x14ac:dyDescent="0.3">
      <c r="A3000" s="24" t="s">
        <v>23</v>
      </c>
      <c r="B3000" s="24" t="s">
        <v>3308</v>
      </c>
      <c r="C3000" s="12" t="s">
        <v>3309</v>
      </c>
      <c r="D3000" s="55"/>
      <c r="E3000" s="39" t="str">
        <f>HYPERLINK("https://www.google.ru/search?q=6012302-669&amp;newwindow=1&amp;tbm=isch","Еще фото")</f>
        <v>Еще фото</v>
      </c>
      <c r="F3000" s="13"/>
      <c r="G3000" s="24" t="s">
        <v>2788</v>
      </c>
      <c r="H3000" s="24" t="s">
        <v>27</v>
      </c>
      <c r="I3000" s="24" t="s">
        <v>2784</v>
      </c>
      <c r="J3000" s="14" t="s">
        <v>29</v>
      </c>
      <c r="K3000" s="15" t="s">
        <v>64</v>
      </c>
      <c r="L3000" s="58"/>
      <c r="M3000" s="14"/>
      <c r="N3000" s="14" t="s">
        <v>57</v>
      </c>
      <c r="O3000" s="14"/>
      <c r="P3000" s="15" t="s">
        <v>51</v>
      </c>
      <c r="Q3000" s="16">
        <v>3299</v>
      </c>
      <c r="R3000" s="17">
        <v>40</v>
      </c>
      <c r="S3000" s="18">
        <v>2276.31</v>
      </c>
      <c r="T3000" s="19" t="s">
        <v>36</v>
      </c>
      <c r="U3000" s="20" t="s">
        <v>39</v>
      </c>
      <c r="V3000" s="21" t="s">
        <v>38</v>
      </c>
      <c r="W3000" s="22">
        <v>1</v>
      </c>
      <c r="X3000" s="23"/>
    </row>
    <row r="3001" spans="1:24" s="1" customFormat="1" ht="108" customHeight="1" x14ac:dyDescent="0.3">
      <c r="A3001" s="11" t="s">
        <v>23</v>
      </c>
      <c r="B3001" s="11" t="s">
        <v>3311</v>
      </c>
      <c r="C3001" s="12" t="s">
        <v>3312</v>
      </c>
      <c r="D3001" s="25"/>
      <c r="E3001" s="39" t="str">
        <f>HYPERLINK("https://www.google.ru/search?q=6012356-203&amp;newwindow=1&amp;tbm=isch","Еще фото")</f>
        <v>Еще фото</v>
      </c>
      <c r="F3001" s="13"/>
      <c r="G3001" s="11" t="s">
        <v>2788</v>
      </c>
      <c r="H3001" s="11" t="s">
        <v>27</v>
      </c>
      <c r="I3001" s="14" t="s">
        <v>2784</v>
      </c>
      <c r="J3001" s="14" t="s">
        <v>29</v>
      </c>
      <c r="K3001" s="15" t="s">
        <v>30</v>
      </c>
      <c r="L3001" s="14" t="s">
        <v>3313</v>
      </c>
      <c r="M3001" s="14"/>
      <c r="N3001" s="14" t="s">
        <v>215</v>
      </c>
      <c r="O3001" s="14"/>
      <c r="P3001" s="15" t="s">
        <v>51</v>
      </c>
      <c r="Q3001" s="16">
        <v>3899</v>
      </c>
      <c r="R3001" s="17">
        <v>40</v>
      </c>
      <c r="S3001" s="18">
        <v>2690.31</v>
      </c>
      <c r="T3001" s="19" t="s">
        <v>36</v>
      </c>
      <c r="U3001" s="20" t="s">
        <v>39</v>
      </c>
      <c r="V3001" s="21" t="s">
        <v>40</v>
      </c>
      <c r="W3001" s="22">
        <v>2</v>
      </c>
      <c r="X3001" s="23"/>
    </row>
    <row r="3002" spans="1:24" s="1" customFormat="1" ht="21" customHeight="1" x14ac:dyDescent="0.3">
      <c r="A3002" s="11" t="s">
        <v>23</v>
      </c>
      <c r="B3002" s="11" t="s">
        <v>2795</v>
      </c>
      <c r="C3002" s="26" t="s">
        <v>3314</v>
      </c>
      <c r="D3002" s="53"/>
      <c r="E3002" s="39" t="str">
        <f>HYPERLINK("https://www.google.ru/search?q=6012660-800&amp;newwindow=1&amp;tbm=isch","Еще фото")</f>
        <v>Еще фото</v>
      </c>
      <c r="F3002" s="13"/>
      <c r="G3002" s="11" t="s">
        <v>2788</v>
      </c>
      <c r="H3002" s="11" t="s">
        <v>27</v>
      </c>
      <c r="I3002" s="14" t="s">
        <v>2784</v>
      </c>
      <c r="J3002" s="14" t="s">
        <v>892</v>
      </c>
      <c r="K3002" s="15" t="s">
        <v>54</v>
      </c>
      <c r="L3002" s="56"/>
      <c r="M3002" s="14"/>
      <c r="N3002" s="14" t="s">
        <v>434</v>
      </c>
      <c r="O3002" s="14"/>
      <c r="P3002" s="15" t="s">
        <v>2601</v>
      </c>
      <c r="Q3002" s="16">
        <v>3599</v>
      </c>
      <c r="R3002" s="17">
        <v>40</v>
      </c>
      <c r="S3002" s="18">
        <v>2483.31</v>
      </c>
      <c r="T3002" s="19" t="s">
        <v>36</v>
      </c>
      <c r="U3002" s="20" t="s">
        <v>114</v>
      </c>
      <c r="V3002" s="21" t="s">
        <v>115</v>
      </c>
      <c r="W3002" s="22">
        <v>6</v>
      </c>
      <c r="X3002" s="23"/>
    </row>
    <row r="3003" spans="1:24" s="1" customFormat="1" ht="21" customHeight="1" x14ac:dyDescent="0.3">
      <c r="A3003" s="24" t="s">
        <v>23</v>
      </c>
      <c r="B3003" s="24" t="s">
        <v>2795</v>
      </c>
      <c r="C3003" s="27" t="s">
        <v>3314</v>
      </c>
      <c r="D3003" s="54"/>
      <c r="E3003" s="39" t="str">
        <f>HYPERLINK("https://www.google.ru/search?q=6012660-800&amp;newwindow=1&amp;tbm=isch","Еще фото")</f>
        <v>Еще фото</v>
      </c>
      <c r="F3003" s="13"/>
      <c r="G3003" s="24" t="s">
        <v>2788</v>
      </c>
      <c r="H3003" s="24" t="s">
        <v>27</v>
      </c>
      <c r="I3003" s="24" t="s">
        <v>2784</v>
      </c>
      <c r="J3003" s="14" t="s">
        <v>892</v>
      </c>
      <c r="K3003" s="15" t="s">
        <v>54</v>
      </c>
      <c r="L3003" s="57"/>
      <c r="M3003" s="14"/>
      <c r="N3003" s="14" t="s">
        <v>434</v>
      </c>
      <c r="O3003" s="14"/>
      <c r="P3003" s="15" t="s">
        <v>2601</v>
      </c>
      <c r="Q3003" s="16">
        <v>3599</v>
      </c>
      <c r="R3003" s="17">
        <v>40</v>
      </c>
      <c r="S3003" s="18">
        <v>2483.31</v>
      </c>
      <c r="T3003" s="19" t="s">
        <v>36</v>
      </c>
      <c r="U3003" s="20" t="s">
        <v>126</v>
      </c>
      <c r="V3003" s="21" t="s">
        <v>127</v>
      </c>
      <c r="W3003" s="22">
        <v>5</v>
      </c>
      <c r="X3003" s="23"/>
    </row>
    <row r="3004" spans="1:24" s="1" customFormat="1" ht="21" customHeight="1" x14ac:dyDescent="0.3">
      <c r="A3004" s="24" t="s">
        <v>23</v>
      </c>
      <c r="B3004" s="24" t="s">
        <v>2795</v>
      </c>
      <c r="C3004" s="27" t="s">
        <v>3314</v>
      </c>
      <c r="D3004" s="54"/>
      <c r="E3004" s="39" t="str">
        <f>HYPERLINK("https://www.google.ru/search?q=6012660-800&amp;newwindow=1&amp;tbm=isch","Еще фото")</f>
        <v>Еще фото</v>
      </c>
      <c r="F3004" s="13"/>
      <c r="G3004" s="24" t="s">
        <v>2788</v>
      </c>
      <c r="H3004" s="24" t="s">
        <v>27</v>
      </c>
      <c r="I3004" s="24" t="s">
        <v>2784</v>
      </c>
      <c r="J3004" s="14" t="s">
        <v>892</v>
      </c>
      <c r="K3004" s="15" t="s">
        <v>54</v>
      </c>
      <c r="L3004" s="57"/>
      <c r="M3004" s="14"/>
      <c r="N3004" s="14" t="s">
        <v>434</v>
      </c>
      <c r="O3004" s="14"/>
      <c r="P3004" s="15" t="s">
        <v>2601</v>
      </c>
      <c r="Q3004" s="16">
        <v>3599</v>
      </c>
      <c r="R3004" s="17">
        <v>40</v>
      </c>
      <c r="S3004" s="18">
        <v>2483.31</v>
      </c>
      <c r="T3004" s="19" t="s">
        <v>36</v>
      </c>
      <c r="U3004" s="20" t="s">
        <v>128</v>
      </c>
      <c r="V3004" s="21" t="s">
        <v>129</v>
      </c>
      <c r="W3004" s="22">
        <v>6</v>
      </c>
      <c r="X3004" s="23"/>
    </row>
    <row r="3005" spans="1:24" s="1" customFormat="1" ht="21" customHeight="1" x14ac:dyDescent="0.3">
      <c r="A3005" s="24" t="s">
        <v>23</v>
      </c>
      <c r="B3005" s="24" t="s">
        <v>2795</v>
      </c>
      <c r="C3005" s="27" t="s">
        <v>3314</v>
      </c>
      <c r="D3005" s="54"/>
      <c r="E3005" s="39" t="str">
        <f>HYPERLINK("https://www.google.ru/search?q=6012660-800&amp;newwindow=1&amp;tbm=isch","Еще фото")</f>
        <v>Еще фото</v>
      </c>
      <c r="F3005" s="13"/>
      <c r="G3005" s="24" t="s">
        <v>2788</v>
      </c>
      <c r="H3005" s="24" t="s">
        <v>27</v>
      </c>
      <c r="I3005" s="24" t="s">
        <v>2784</v>
      </c>
      <c r="J3005" s="14" t="s">
        <v>892</v>
      </c>
      <c r="K3005" s="15" t="s">
        <v>54</v>
      </c>
      <c r="L3005" s="57"/>
      <c r="M3005" s="14"/>
      <c r="N3005" s="14" t="s">
        <v>434</v>
      </c>
      <c r="O3005" s="14"/>
      <c r="P3005" s="15" t="s">
        <v>2601</v>
      </c>
      <c r="Q3005" s="16">
        <v>3599</v>
      </c>
      <c r="R3005" s="17">
        <v>40</v>
      </c>
      <c r="S3005" s="18">
        <v>2483.31</v>
      </c>
      <c r="T3005" s="19" t="s">
        <v>36</v>
      </c>
      <c r="U3005" s="20" t="s">
        <v>59</v>
      </c>
      <c r="V3005" s="21" t="s">
        <v>60</v>
      </c>
      <c r="W3005" s="22">
        <v>12</v>
      </c>
      <c r="X3005" s="23"/>
    </row>
    <row r="3006" spans="1:24" s="1" customFormat="1" ht="32.1" customHeight="1" x14ac:dyDescent="0.3">
      <c r="A3006" s="24" t="s">
        <v>23</v>
      </c>
      <c r="B3006" s="24" t="s">
        <v>2795</v>
      </c>
      <c r="C3006" s="27" t="s">
        <v>3314</v>
      </c>
      <c r="D3006" s="55"/>
      <c r="E3006" s="39" t="str">
        <f>HYPERLINK("https://www.google.ru/search?q=6012660-800&amp;newwindow=1&amp;tbm=isch","Еще фото")</f>
        <v>Еще фото</v>
      </c>
      <c r="F3006" s="13"/>
      <c r="G3006" s="24" t="s">
        <v>2788</v>
      </c>
      <c r="H3006" s="24" t="s">
        <v>27</v>
      </c>
      <c r="I3006" s="24" t="s">
        <v>2784</v>
      </c>
      <c r="J3006" s="14" t="s">
        <v>892</v>
      </c>
      <c r="K3006" s="15" t="s">
        <v>54</v>
      </c>
      <c r="L3006" s="58"/>
      <c r="M3006" s="14"/>
      <c r="N3006" s="14" t="s">
        <v>434</v>
      </c>
      <c r="O3006" s="14"/>
      <c r="P3006" s="15" t="s">
        <v>2601</v>
      </c>
      <c r="Q3006" s="16">
        <v>3599</v>
      </c>
      <c r="R3006" s="17">
        <v>40</v>
      </c>
      <c r="S3006" s="18">
        <v>2483.31</v>
      </c>
      <c r="T3006" s="19" t="s">
        <v>36</v>
      </c>
      <c r="U3006" s="20" t="s">
        <v>130</v>
      </c>
      <c r="V3006" s="21" t="s">
        <v>131</v>
      </c>
      <c r="W3006" s="22">
        <v>2</v>
      </c>
      <c r="X3006" s="23"/>
    </row>
    <row r="3007" spans="1:24" s="1" customFormat="1" ht="26.1" customHeight="1" x14ac:dyDescent="0.3">
      <c r="A3007" s="11" t="s">
        <v>23</v>
      </c>
      <c r="B3007" s="11" t="s">
        <v>3315</v>
      </c>
      <c r="C3007" s="12" t="s">
        <v>3316</v>
      </c>
      <c r="D3007" s="53"/>
      <c r="E3007" s="39" t="str">
        <f>HYPERLINK("https://www.google.ru/search?q=6012691-008&amp;newwindow=1&amp;tbm=isch","Еще фото")</f>
        <v>Еще фото</v>
      </c>
      <c r="F3007" s="13"/>
      <c r="G3007" s="11" t="s">
        <v>2783</v>
      </c>
      <c r="H3007" s="11" t="s">
        <v>27</v>
      </c>
      <c r="I3007" s="14" t="s">
        <v>2784</v>
      </c>
      <c r="J3007" s="14" t="s">
        <v>29</v>
      </c>
      <c r="K3007" s="15" t="s">
        <v>64</v>
      </c>
      <c r="L3007" s="56" t="s">
        <v>3317</v>
      </c>
      <c r="M3007" s="14"/>
      <c r="N3007" s="14" t="s">
        <v>33</v>
      </c>
      <c r="O3007" s="14"/>
      <c r="P3007" s="15" t="s">
        <v>3272</v>
      </c>
      <c r="Q3007" s="16">
        <v>4199</v>
      </c>
      <c r="R3007" s="17">
        <v>40</v>
      </c>
      <c r="S3007" s="18">
        <v>2897.31</v>
      </c>
      <c r="T3007" s="19" t="s">
        <v>36</v>
      </c>
      <c r="U3007" s="20" t="s">
        <v>69</v>
      </c>
      <c r="V3007" s="21" t="s">
        <v>70</v>
      </c>
      <c r="W3007" s="22">
        <v>1</v>
      </c>
      <c r="X3007" s="23"/>
    </row>
    <row r="3008" spans="1:24" s="1" customFormat="1" ht="26.1" customHeight="1" x14ac:dyDescent="0.3">
      <c r="A3008" s="24" t="s">
        <v>23</v>
      </c>
      <c r="B3008" s="24" t="s">
        <v>3315</v>
      </c>
      <c r="C3008" s="12" t="s">
        <v>3316</v>
      </c>
      <c r="D3008" s="54"/>
      <c r="E3008" s="39" t="str">
        <f>HYPERLINK("https://www.google.ru/search?q=6012691-008&amp;newwindow=1&amp;tbm=isch","Еще фото")</f>
        <v>Еще фото</v>
      </c>
      <c r="F3008" s="13"/>
      <c r="G3008" s="24" t="s">
        <v>2783</v>
      </c>
      <c r="H3008" s="24" t="s">
        <v>27</v>
      </c>
      <c r="I3008" s="24" t="s">
        <v>2784</v>
      </c>
      <c r="J3008" s="14" t="s">
        <v>29</v>
      </c>
      <c r="K3008" s="15" t="s">
        <v>64</v>
      </c>
      <c r="L3008" s="57"/>
      <c r="M3008" s="14"/>
      <c r="N3008" s="14" t="s">
        <v>33</v>
      </c>
      <c r="O3008" s="14"/>
      <c r="P3008" s="15" t="s">
        <v>3272</v>
      </c>
      <c r="Q3008" s="16">
        <v>4199</v>
      </c>
      <c r="R3008" s="17">
        <v>40</v>
      </c>
      <c r="S3008" s="18">
        <v>2897.31</v>
      </c>
      <c r="T3008" s="19" t="s">
        <v>36</v>
      </c>
      <c r="U3008" s="20" t="s">
        <v>37</v>
      </c>
      <c r="V3008" s="21" t="s">
        <v>86</v>
      </c>
      <c r="W3008" s="22">
        <v>2</v>
      </c>
      <c r="X3008" s="23"/>
    </row>
    <row r="3009" spans="1:24" s="1" customFormat="1" ht="26.1" customHeight="1" x14ac:dyDescent="0.3">
      <c r="A3009" s="24" t="s">
        <v>23</v>
      </c>
      <c r="B3009" s="24" t="s">
        <v>3315</v>
      </c>
      <c r="C3009" s="12" t="s">
        <v>3316</v>
      </c>
      <c r="D3009" s="54"/>
      <c r="E3009" s="39" t="str">
        <f>HYPERLINK("https://www.google.ru/search?q=6012691-008&amp;newwindow=1&amp;tbm=isch","Еще фото")</f>
        <v>Еще фото</v>
      </c>
      <c r="F3009" s="13"/>
      <c r="G3009" s="24" t="s">
        <v>2783</v>
      </c>
      <c r="H3009" s="24" t="s">
        <v>27</v>
      </c>
      <c r="I3009" s="24" t="s">
        <v>2784</v>
      </c>
      <c r="J3009" s="14" t="s">
        <v>29</v>
      </c>
      <c r="K3009" s="15" t="s">
        <v>64</v>
      </c>
      <c r="L3009" s="57"/>
      <c r="M3009" s="14"/>
      <c r="N3009" s="14" t="s">
        <v>33</v>
      </c>
      <c r="O3009" s="14"/>
      <c r="P3009" s="15" t="s">
        <v>3272</v>
      </c>
      <c r="Q3009" s="16">
        <v>4199</v>
      </c>
      <c r="R3009" s="17">
        <v>40</v>
      </c>
      <c r="S3009" s="18">
        <v>2897.31</v>
      </c>
      <c r="T3009" s="19" t="s">
        <v>36</v>
      </c>
      <c r="U3009" s="20" t="s">
        <v>39</v>
      </c>
      <c r="V3009" s="21" t="s">
        <v>38</v>
      </c>
      <c r="W3009" s="22">
        <v>10</v>
      </c>
      <c r="X3009" s="23"/>
    </row>
    <row r="3010" spans="1:24" s="1" customFormat="1" ht="26.1" customHeight="1" x14ac:dyDescent="0.3">
      <c r="A3010" s="24" t="s">
        <v>23</v>
      </c>
      <c r="B3010" s="24" t="s">
        <v>3315</v>
      </c>
      <c r="C3010" s="12" t="s">
        <v>3316</v>
      </c>
      <c r="D3010" s="55"/>
      <c r="E3010" s="39" t="str">
        <f>HYPERLINK("https://www.google.ru/search?q=6012691-008&amp;newwindow=1&amp;tbm=isch","Еще фото")</f>
        <v>Еще фото</v>
      </c>
      <c r="F3010" s="13"/>
      <c r="G3010" s="24" t="s">
        <v>2783</v>
      </c>
      <c r="H3010" s="24" t="s">
        <v>27</v>
      </c>
      <c r="I3010" s="24" t="s">
        <v>2784</v>
      </c>
      <c r="J3010" s="14" t="s">
        <v>29</v>
      </c>
      <c r="K3010" s="15" t="s">
        <v>64</v>
      </c>
      <c r="L3010" s="58"/>
      <c r="M3010" s="14"/>
      <c r="N3010" s="14" t="s">
        <v>33</v>
      </c>
      <c r="O3010" s="14"/>
      <c r="P3010" s="15" t="s">
        <v>3272</v>
      </c>
      <c r="Q3010" s="16">
        <v>4199</v>
      </c>
      <c r="R3010" s="17">
        <v>40</v>
      </c>
      <c r="S3010" s="18">
        <v>2897.31</v>
      </c>
      <c r="T3010" s="19" t="s">
        <v>36</v>
      </c>
      <c r="U3010" s="20" t="s">
        <v>41</v>
      </c>
      <c r="V3010" s="21" t="s">
        <v>40</v>
      </c>
      <c r="W3010" s="22">
        <v>8</v>
      </c>
      <c r="X3010" s="23"/>
    </row>
    <row r="3011" spans="1:24" s="1" customFormat="1" ht="26.1" customHeight="1" x14ac:dyDescent="0.3">
      <c r="A3011" s="11" t="s">
        <v>23</v>
      </c>
      <c r="B3011" s="11" t="s">
        <v>3315</v>
      </c>
      <c r="C3011" s="12" t="s">
        <v>3318</v>
      </c>
      <c r="D3011" s="53"/>
      <c r="E3011" s="39" t="str">
        <f>HYPERLINK("https://www.google.ru/search?q=6012691-338&amp;newwindow=1&amp;tbm=isch","Еще фото")</f>
        <v>Еще фото</v>
      </c>
      <c r="F3011" s="13"/>
      <c r="G3011" s="11" t="s">
        <v>2783</v>
      </c>
      <c r="H3011" s="11" t="s">
        <v>27</v>
      </c>
      <c r="I3011" s="14" t="s">
        <v>2784</v>
      </c>
      <c r="J3011" s="14" t="s">
        <v>29</v>
      </c>
      <c r="K3011" s="15" t="s">
        <v>64</v>
      </c>
      <c r="L3011" s="56"/>
      <c r="M3011" s="14"/>
      <c r="N3011" s="14" t="s">
        <v>125</v>
      </c>
      <c r="O3011" s="14"/>
      <c r="P3011" s="15" t="s">
        <v>3272</v>
      </c>
      <c r="Q3011" s="16">
        <v>4199</v>
      </c>
      <c r="R3011" s="17">
        <v>40</v>
      </c>
      <c r="S3011" s="18">
        <v>2897.31</v>
      </c>
      <c r="T3011" s="19" t="s">
        <v>36</v>
      </c>
      <c r="U3011" s="20" t="s">
        <v>69</v>
      </c>
      <c r="V3011" s="21" t="s">
        <v>70</v>
      </c>
      <c r="W3011" s="22">
        <v>6</v>
      </c>
      <c r="X3011" s="23"/>
    </row>
    <row r="3012" spans="1:24" s="1" customFormat="1" ht="26.1" customHeight="1" x14ac:dyDescent="0.3">
      <c r="A3012" s="24" t="s">
        <v>23</v>
      </c>
      <c r="B3012" s="24" t="s">
        <v>3315</v>
      </c>
      <c r="C3012" s="12" t="s">
        <v>3318</v>
      </c>
      <c r="D3012" s="54"/>
      <c r="E3012" s="39" t="str">
        <f>HYPERLINK("https://www.google.ru/search?q=6012691-338&amp;newwindow=1&amp;tbm=isch","Еще фото")</f>
        <v>Еще фото</v>
      </c>
      <c r="F3012" s="13"/>
      <c r="G3012" s="24" t="s">
        <v>2783</v>
      </c>
      <c r="H3012" s="24" t="s">
        <v>27</v>
      </c>
      <c r="I3012" s="24" t="s">
        <v>2784</v>
      </c>
      <c r="J3012" s="14" t="s">
        <v>29</v>
      </c>
      <c r="K3012" s="15" t="s">
        <v>64</v>
      </c>
      <c r="L3012" s="57"/>
      <c r="M3012" s="14"/>
      <c r="N3012" s="14" t="s">
        <v>125</v>
      </c>
      <c r="O3012" s="14"/>
      <c r="P3012" s="15" t="s">
        <v>3272</v>
      </c>
      <c r="Q3012" s="16">
        <v>4199</v>
      </c>
      <c r="R3012" s="17">
        <v>40</v>
      </c>
      <c r="S3012" s="18">
        <v>2897.31</v>
      </c>
      <c r="T3012" s="19" t="s">
        <v>36</v>
      </c>
      <c r="U3012" s="20" t="s">
        <v>37</v>
      </c>
      <c r="V3012" s="21" t="s">
        <v>86</v>
      </c>
      <c r="W3012" s="22">
        <v>6</v>
      </c>
      <c r="X3012" s="23"/>
    </row>
    <row r="3013" spans="1:24" s="1" customFormat="1" ht="26.1" customHeight="1" x14ac:dyDescent="0.3">
      <c r="A3013" s="24" t="s">
        <v>23</v>
      </c>
      <c r="B3013" s="24" t="s">
        <v>3315</v>
      </c>
      <c r="C3013" s="12" t="s">
        <v>3318</v>
      </c>
      <c r="D3013" s="54"/>
      <c r="E3013" s="39" t="str">
        <f>HYPERLINK("https://www.google.ru/search?q=6012691-338&amp;newwindow=1&amp;tbm=isch","Еще фото")</f>
        <v>Еще фото</v>
      </c>
      <c r="F3013" s="13"/>
      <c r="G3013" s="24" t="s">
        <v>2783</v>
      </c>
      <c r="H3013" s="24" t="s">
        <v>27</v>
      </c>
      <c r="I3013" s="24" t="s">
        <v>2784</v>
      </c>
      <c r="J3013" s="14" t="s">
        <v>29</v>
      </c>
      <c r="K3013" s="15" t="s">
        <v>64</v>
      </c>
      <c r="L3013" s="57"/>
      <c r="M3013" s="14"/>
      <c r="N3013" s="14" t="s">
        <v>125</v>
      </c>
      <c r="O3013" s="14"/>
      <c r="P3013" s="15" t="s">
        <v>3272</v>
      </c>
      <c r="Q3013" s="16">
        <v>4199</v>
      </c>
      <c r="R3013" s="17">
        <v>40</v>
      </c>
      <c r="S3013" s="18">
        <v>2897.31</v>
      </c>
      <c r="T3013" s="19" t="s">
        <v>36</v>
      </c>
      <c r="U3013" s="20" t="s">
        <v>39</v>
      </c>
      <c r="V3013" s="21" t="s">
        <v>38</v>
      </c>
      <c r="W3013" s="22">
        <v>12</v>
      </c>
      <c r="X3013" s="23"/>
    </row>
    <row r="3014" spans="1:24" s="1" customFormat="1" ht="26.1" customHeight="1" x14ac:dyDescent="0.3">
      <c r="A3014" s="24" t="s">
        <v>23</v>
      </c>
      <c r="B3014" s="24" t="s">
        <v>3315</v>
      </c>
      <c r="C3014" s="12" t="s">
        <v>3318</v>
      </c>
      <c r="D3014" s="55"/>
      <c r="E3014" s="39" t="str">
        <f>HYPERLINK("https://www.google.ru/search?q=6012691-338&amp;newwindow=1&amp;tbm=isch","Еще фото")</f>
        <v>Еще фото</v>
      </c>
      <c r="F3014" s="13"/>
      <c r="G3014" s="24" t="s">
        <v>2783</v>
      </c>
      <c r="H3014" s="24" t="s">
        <v>27</v>
      </c>
      <c r="I3014" s="24" t="s">
        <v>2784</v>
      </c>
      <c r="J3014" s="14" t="s">
        <v>29</v>
      </c>
      <c r="K3014" s="15" t="s">
        <v>64</v>
      </c>
      <c r="L3014" s="58"/>
      <c r="M3014" s="14"/>
      <c r="N3014" s="14" t="s">
        <v>125</v>
      </c>
      <c r="O3014" s="14"/>
      <c r="P3014" s="15" t="s">
        <v>3272</v>
      </c>
      <c r="Q3014" s="16">
        <v>4199</v>
      </c>
      <c r="R3014" s="17">
        <v>40</v>
      </c>
      <c r="S3014" s="18">
        <v>2897.31</v>
      </c>
      <c r="T3014" s="19" t="s">
        <v>36</v>
      </c>
      <c r="U3014" s="20" t="s">
        <v>41</v>
      </c>
      <c r="V3014" s="21" t="s">
        <v>40</v>
      </c>
      <c r="W3014" s="22">
        <v>8</v>
      </c>
      <c r="X3014" s="23"/>
    </row>
    <row r="3015" spans="1:24" s="1" customFormat="1" ht="26.1" customHeight="1" x14ac:dyDescent="0.3">
      <c r="A3015" s="11" t="s">
        <v>23</v>
      </c>
      <c r="B3015" s="11" t="s">
        <v>3227</v>
      </c>
      <c r="C3015" s="12" t="s">
        <v>3319</v>
      </c>
      <c r="D3015" s="53"/>
      <c r="E3015" s="39" t="str">
        <f>HYPERLINK("https://www.google.ru/search?q=6012729-001&amp;newwindow=1&amp;tbm=isch","Еще фото")</f>
        <v>Еще фото</v>
      </c>
      <c r="F3015" s="13"/>
      <c r="G3015" s="11" t="s">
        <v>2788</v>
      </c>
      <c r="H3015" s="11" t="s">
        <v>27</v>
      </c>
      <c r="I3015" s="14" t="s">
        <v>2784</v>
      </c>
      <c r="J3015" s="14" t="s">
        <v>29</v>
      </c>
      <c r="K3015" s="15" t="s">
        <v>64</v>
      </c>
      <c r="L3015" s="56"/>
      <c r="M3015" s="14"/>
      <c r="N3015" s="14" t="s">
        <v>33</v>
      </c>
      <c r="O3015" s="14"/>
      <c r="P3015" s="15" t="s">
        <v>2913</v>
      </c>
      <c r="Q3015" s="16">
        <v>6999</v>
      </c>
      <c r="R3015" s="17">
        <v>40</v>
      </c>
      <c r="S3015" s="18">
        <v>4829.3099999999995</v>
      </c>
      <c r="T3015" s="19" t="s">
        <v>36</v>
      </c>
      <c r="U3015" s="20" t="s">
        <v>69</v>
      </c>
      <c r="V3015" s="21" t="s">
        <v>70</v>
      </c>
      <c r="W3015" s="22">
        <v>12</v>
      </c>
      <c r="X3015" s="23"/>
    </row>
    <row r="3016" spans="1:24" s="1" customFormat="1" ht="26.1" customHeight="1" x14ac:dyDescent="0.3">
      <c r="A3016" s="24" t="s">
        <v>23</v>
      </c>
      <c r="B3016" s="24" t="s">
        <v>3227</v>
      </c>
      <c r="C3016" s="12" t="s">
        <v>3319</v>
      </c>
      <c r="D3016" s="54"/>
      <c r="E3016" s="39" t="str">
        <f>HYPERLINK("https://www.google.ru/search?q=6012729-001&amp;newwindow=1&amp;tbm=isch","Еще фото")</f>
        <v>Еще фото</v>
      </c>
      <c r="F3016" s="13"/>
      <c r="G3016" s="24" t="s">
        <v>2788</v>
      </c>
      <c r="H3016" s="24" t="s">
        <v>27</v>
      </c>
      <c r="I3016" s="24" t="s">
        <v>2784</v>
      </c>
      <c r="J3016" s="14" t="s">
        <v>29</v>
      </c>
      <c r="K3016" s="15" t="s">
        <v>64</v>
      </c>
      <c r="L3016" s="57"/>
      <c r="M3016" s="14"/>
      <c r="N3016" s="14" t="s">
        <v>33</v>
      </c>
      <c r="O3016" s="14"/>
      <c r="P3016" s="15" t="s">
        <v>2913</v>
      </c>
      <c r="Q3016" s="16">
        <v>6999</v>
      </c>
      <c r="R3016" s="17">
        <v>40</v>
      </c>
      <c r="S3016" s="18">
        <v>4829.3099999999995</v>
      </c>
      <c r="T3016" s="19" t="s">
        <v>36</v>
      </c>
      <c r="U3016" s="20" t="s">
        <v>37</v>
      </c>
      <c r="V3016" s="21" t="s">
        <v>86</v>
      </c>
      <c r="W3016" s="22">
        <v>28</v>
      </c>
      <c r="X3016" s="23"/>
    </row>
    <row r="3017" spans="1:24" s="1" customFormat="1" ht="26.1" customHeight="1" x14ac:dyDescent="0.3">
      <c r="A3017" s="24" t="s">
        <v>23</v>
      </c>
      <c r="B3017" s="24" t="s">
        <v>3227</v>
      </c>
      <c r="C3017" s="12" t="s">
        <v>3319</v>
      </c>
      <c r="D3017" s="54"/>
      <c r="E3017" s="39" t="str">
        <f>HYPERLINK("https://www.google.ru/search?q=6012729-001&amp;newwindow=1&amp;tbm=isch","Еще фото")</f>
        <v>Еще фото</v>
      </c>
      <c r="F3017" s="13"/>
      <c r="G3017" s="24" t="s">
        <v>2788</v>
      </c>
      <c r="H3017" s="24" t="s">
        <v>27</v>
      </c>
      <c r="I3017" s="24" t="s">
        <v>2784</v>
      </c>
      <c r="J3017" s="14" t="s">
        <v>29</v>
      </c>
      <c r="K3017" s="15" t="s">
        <v>64</v>
      </c>
      <c r="L3017" s="57"/>
      <c r="M3017" s="14"/>
      <c r="N3017" s="14" t="s">
        <v>33</v>
      </c>
      <c r="O3017" s="14"/>
      <c r="P3017" s="15" t="s">
        <v>2913</v>
      </c>
      <c r="Q3017" s="16">
        <v>6999</v>
      </c>
      <c r="R3017" s="17">
        <v>40</v>
      </c>
      <c r="S3017" s="18">
        <v>4829.3099999999995</v>
      </c>
      <c r="T3017" s="19" t="s">
        <v>36</v>
      </c>
      <c r="U3017" s="20" t="s">
        <v>39</v>
      </c>
      <c r="V3017" s="21" t="s">
        <v>38</v>
      </c>
      <c r="W3017" s="22">
        <v>30</v>
      </c>
      <c r="X3017" s="23"/>
    </row>
    <row r="3018" spans="1:24" s="1" customFormat="1" ht="26.1" customHeight="1" x14ac:dyDescent="0.3">
      <c r="A3018" s="24" t="s">
        <v>23</v>
      </c>
      <c r="B3018" s="24" t="s">
        <v>3227</v>
      </c>
      <c r="C3018" s="12" t="s">
        <v>3319</v>
      </c>
      <c r="D3018" s="55"/>
      <c r="E3018" s="39" t="str">
        <f>HYPERLINK("https://www.google.ru/search?q=6012729-001&amp;newwindow=1&amp;tbm=isch","Еще фото")</f>
        <v>Еще фото</v>
      </c>
      <c r="F3018" s="13"/>
      <c r="G3018" s="24" t="s">
        <v>2788</v>
      </c>
      <c r="H3018" s="24" t="s">
        <v>27</v>
      </c>
      <c r="I3018" s="24" t="s">
        <v>2784</v>
      </c>
      <c r="J3018" s="14" t="s">
        <v>29</v>
      </c>
      <c r="K3018" s="15" t="s">
        <v>64</v>
      </c>
      <c r="L3018" s="58"/>
      <c r="M3018" s="14"/>
      <c r="N3018" s="14" t="s">
        <v>33</v>
      </c>
      <c r="O3018" s="14"/>
      <c r="P3018" s="15" t="s">
        <v>2913</v>
      </c>
      <c r="Q3018" s="16">
        <v>6999</v>
      </c>
      <c r="R3018" s="17">
        <v>40</v>
      </c>
      <c r="S3018" s="18">
        <v>4829.3099999999995</v>
      </c>
      <c r="T3018" s="19" t="s">
        <v>36</v>
      </c>
      <c r="U3018" s="20" t="s">
        <v>41</v>
      </c>
      <c r="V3018" s="21" t="s">
        <v>40</v>
      </c>
      <c r="W3018" s="22">
        <v>12</v>
      </c>
      <c r="X3018" s="23"/>
    </row>
    <row r="3019" spans="1:24" s="1" customFormat="1" ht="26.1" customHeight="1" x14ac:dyDescent="0.3">
      <c r="A3019" s="11" t="s">
        <v>23</v>
      </c>
      <c r="B3019" s="11" t="s">
        <v>3227</v>
      </c>
      <c r="C3019" s="12" t="s">
        <v>3320</v>
      </c>
      <c r="D3019" s="53"/>
      <c r="E3019" s="39" t="str">
        <f>HYPERLINK("https://www.google.ru/search?q=6012729-069&amp;newwindow=1&amp;tbm=isch","Еще фото")</f>
        <v>Еще фото</v>
      </c>
      <c r="F3019" s="13"/>
      <c r="G3019" s="11" t="s">
        <v>2788</v>
      </c>
      <c r="H3019" s="11" t="s">
        <v>27</v>
      </c>
      <c r="I3019" s="14" t="s">
        <v>2784</v>
      </c>
      <c r="J3019" s="14" t="s">
        <v>29</v>
      </c>
      <c r="K3019" s="15" t="s">
        <v>64</v>
      </c>
      <c r="L3019" s="56"/>
      <c r="M3019" s="14"/>
      <c r="N3019" s="14" t="s">
        <v>84</v>
      </c>
      <c r="O3019" s="14"/>
      <c r="P3019" s="15" t="s">
        <v>2913</v>
      </c>
      <c r="Q3019" s="16">
        <v>6999</v>
      </c>
      <c r="R3019" s="17">
        <v>40</v>
      </c>
      <c r="S3019" s="18">
        <v>4829.3099999999995</v>
      </c>
      <c r="T3019" s="19" t="s">
        <v>36</v>
      </c>
      <c r="U3019" s="20" t="s">
        <v>69</v>
      </c>
      <c r="V3019" s="21" t="s">
        <v>70</v>
      </c>
      <c r="W3019" s="22">
        <v>12</v>
      </c>
      <c r="X3019" s="23"/>
    </row>
    <row r="3020" spans="1:24" s="1" customFormat="1" ht="26.1" customHeight="1" x14ac:dyDescent="0.3">
      <c r="A3020" s="24" t="s">
        <v>23</v>
      </c>
      <c r="B3020" s="24" t="s">
        <v>3227</v>
      </c>
      <c r="C3020" s="12" t="s">
        <v>3320</v>
      </c>
      <c r="D3020" s="54"/>
      <c r="E3020" s="39" t="str">
        <f>HYPERLINK("https://www.google.ru/search?q=6012729-069&amp;newwindow=1&amp;tbm=isch","Еще фото")</f>
        <v>Еще фото</v>
      </c>
      <c r="F3020" s="13"/>
      <c r="G3020" s="24" t="s">
        <v>2788</v>
      </c>
      <c r="H3020" s="24" t="s">
        <v>27</v>
      </c>
      <c r="I3020" s="24" t="s">
        <v>2784</v>
      </c>
      <c r="J3020" s="14" t="s">
        <v>29</v>
      </c>
      <c r="K3020" s="15" t="s">
        <v>64</v>
      </c>
      <c r="L3020" s="57"/>
      <c r="M3020" s="14"/>
      <c r="N3020" s="14" t="s">
        <v>84</v>
      </c>
      <c r="O3020" s="14"/>
      <c r="P3020" s="15" t="s">
        <v>2913</v>
      </c>
      <c r="Q3020" s="16">
        <v>6999</v>
      </c>
      <c r="R3020" s="17">
        <v>40</v>
      </c>
      <c r="S3020" s="18">
        <v>4829.3099999999995</v>
      </c>
      <c r="T3020" s="19" t="s">
        <v>36</v>
      </c>
      <c r="U3020" s="20" t="s">
        <v>37</v>
      </c>
      <c r="V3020" s="21" t="s">
        <v>86</v>
      </c>
      <c r="W3020" s="22">
        <v>27</v>
      </c>
      <c r="X3020" s="23"/>
    </row>
    <row r="3021" spans="1:24" s="1" customFormat="1" ht="26.1" customHeight="1" x14ac:dyDescent="0.3">
      <c r="A3021" s="24" t="s">
        <v>23</v>
      </c>
      <c r="B3021" s="24" t="s">
        <v>3227</v>
      </c>
      <c r="C3021" s="12" t="s">
        <v>3320</v>
      </c>
      <c r="D3021" s="54"/>
      <c r="E3021" s="39" t="str">
        <f>HYPERLINK("https://www.google.ru/search?q=6012729-069&amp;newwindow=1&amp;tbm=isch","Еще фото")</f>
        <v>Еще фото</v>
      </c>
      <c r="F3021" s="13"/>
      <c r="G3021" s="24" t="s">
        <v>2788</v>
      </c>
      <c r="H3021" s="24" t="s">
        <v>27</v>
      </c>
      <c r="I3021" s="24" t="s">
        <v>2784</v>
      </c>
      <c r="J3021" s="14" t="s">
        <v>29</v>
      </c>
      <c r="K3021" s="15" t="s">
        <v>64</v>
      </c>
      <c r="L3021" s="57"/>
      <c r="M3021" s="14"/>
      <c r="N3021" s="14" t="s">
        <v>84</v>
      </c>
      <c r="O3021" s="14"/>
      <c r="P3021" s="15" t="s">
        <v>2913</v>
      </c>
      <c r="Q3021" s="16">
        <v>6999</v>
      </c>
      <c r="R3021" s="17">
        <v>40</v>
      </c>
      <c r="S3021" s="18">
        <v>4829.3099999999995</v>
      </c>
      <c r="T3021" s="19" t="s">
        <v>36</v>
      </c>
      <c r="U3021" s="20" t="s">
        <v>39</v>
      </c>
      <c r="V3021" s="21" t="s">
        <v>38</v>
      </c>
      <c r="W3021" s="22">
        <v>28</v>
      </c>
      <c r="X3021" s="23"/>
    </row>
    <row r="3022" spans="1:24" s="1" customFormat="1" ht="26.1" customHeight="1" x14ac:dyDescent="0.3">
      <c r="A3022" s="24" t="s">
        <v>23</v>
      </c>
      <c r="B3022" s="24" t="s">
        <v>3227</v>
      </c>
      <c r="C3022" s="12" t="s">
        <v>3320</v>
      </c>
      <c r="D3022" s="55"/>
      <c r="E3022" s="39" t="str">
        <f>HYPERLINK("https://www.google.ru/search?q=6012729-069&amp;newwindow=1&amp;tbm=isch","Еще фото")</f>
        <v>Еще фото</v>
      </c>
      <c r="F3022" s="13"/>
      <c r="G3022" s="24" t="s">
        <v>2788</v>
      </c>
      <c r="H3022" s="24" t="s">
        <v>27</v>
      </c>
      <c r="I3022" s="24" t="s">
        <v>2784</v>
      </c>
      <c r="J3022" s="14" t="s">
        <v>29</v>
      </c>
      <c r="K3022" s="15" t="s">
        <v>64</v>
      </c>
      <c r="L3022" s="58"/>
      <c r="M3022" s="14"/>
      <c r="N3022" s="14" t="s">
        <v>84</v>
      </c>
      <c r="O3022" s="14"/>
      <c r="P3022" s="15" t="s">
        <v>2913</v>
      </c>
      <c r="Q3022" s="16">
        <v>6999</v>
      </c>
      <c r="R3022" s="17">
        <v>40</v>
      </c>
      <c r="S3022" s="18">
        <v>4829.3099999999995</v>
      </c>
      <c r="T3022" s="19" t="s">
        <v>36</v>
      </c>
      <c r="U3022" s="20" t="s">
        <v>41</v>
      </c>
      <c r="V3022" s="21" t="s">
        <v>40</v>
      </c>
      <c r="W3022" s="22">
        <v>12</v>
      </c>
      <c r="X3022" s="23"/>
    </row>
    <row r="3023" spans="1:24" s="1" customFormat="1" ht="108" customHeight="1" x14ac:dyDescent="0.3">
      <c r="A3023" s="11" t="s">
        <v>23</v>
      </c>
      <c r="B3023" s="11" t="s">
        <v>2935</v>
      </c>
      <c r="C3023" s="12" t="s">
        <v>3321</v>
      </c>
      <c r="D3023" s="25"/>
      <c r="E3023" s="39" t="str">
        <f>HYPERLINK("https://www.google.ru/search?q=6012778-466&amp;newwindow=1&amp;tbm=isch","Еще фото")</f>
        <v>Еще фото</v>
      </c>
      <c r="F3023" s="13"/>
      <c r="G3023" s="11" t="s">
        <v>2788</v>
      </c>
      <c r="H3023" s="11" t="s">
        <v>27</v>
      </c>
      <c r="I3023" s="14" t="s">
        <v>2784</v>
      </c>
      <c r="J3023" s="14" t="s">
        <v>47</v>
      </c>
      <c r="K3023" s="15" t="s">
        <v>30</v>
      </c>
      <c r="L3023" s="14" t="s">
        <v>2937</v>
      </c>
      <c r="M3023" s="14"/>
      <c r="N3023" s="14" t="s">
        <v>91</v>
      </c>
      <c r="O3023" s="14"/>
      <c r="P3023" s="15" t="s">
        <v>2601</v>
      </c>
      <c r="Q3023" s="16">
        <v>3099</v>
      </c>
      <c r="R3023" s="17">
        <v>40</v>
      </c>
      <c r="S3023" s="18">
        <v>2138.31</v>
      </c>
      <c r="T3023" s="19" t="s">
        <v>36</v>
      </c>
      <c r="U3023" s="20" t="s">
        <v>39</v>
      </c>
      <c r="V3023" s="21" t="s">
        <v>40</v>
      </c>
      <c r="W3023" s="22">
        <v>1</v>
      </c>
      <c r="X3023" s="23"/>
    </row>
    <row r="3024" spans="1:24" s="1" customFormat="1" ht="51.95" customHeight="1" x14ac:dyDescent="0.3">
      <c r="A3024" s="11" t="s">
        <v>23</v>
      </c>
      <c r="B3024" s="11" t="s">
        <v>3322</v>
      </c>
      <c r="C3024" s="12" t="s">
        <v>3323</v>
      </c>
      <c r="D3024" s="59"/>
      <c r="E3024" s="39" t="str">
        <f>HYPERLINK("https://www.google.ru/search?q=6012823-100&amp;newwindow=1&amp;tbm=isch","Еще фото")</f>
        <v>Еще фото</v>
      </c>
      <c r="F3024" s="13"/>
      <c r="G3024" s="11" t="s">
        <v>2862</v>
      </c>
      <c r="H3024" s="11" t="s">
        <v>27</v>
      </c>
      <c r="I3024" s="14" t="s">
        <v>2784</v>
      </c>
      <c r="J3024" s="14" t="s">
        <v>892</v>
      </c>
      <c r="K3024" s="15" t="s">
        <v>30</v>
      </c>
      <c r="L3024" s="56" t="s">
        <v>3324</v>
      </c>
      <c r="M3024" s="14"/>
      <c r="N3024" s="14" t="s">
        <v>74</v>
      </c>
      <c r="O3024" s="14"/>
      <c r="P3024" s="15" t="s">
        <v>2801</v>
      </c>
      <c r="Q3024" s="16">
        <v>3599</v>
      </c>
      <c r="R3024" s="17">
        <v>40</v>
      </c>
      <c r="S3024" s="18">
        <v>2483.31</v>
      </c>
      <c r="T3024" s="19" t="s">
        <v>36</v>
      </c>
      <c r="U3024" s="20" t="s">
        <v>37</v>
      </c>
      <c r="V3024" s="21" t="s">
        <v>38</v>
      </c>
      <c r="W3024" s="22">
        <v>2</v>
      </c>
      <c r="X3024" s="23"/>
    </row>
    <row r="3025" spans="1:24" s="1" customFormat="1" ht="60.95" customHeight="1" x14ac:dyDescent="0.3">
      <c r="A3025" s="24" t="s">
        <v>23</v>
      </c>
      <c r="B3025" s="24" t="s">
        <v>3322</v>
      </c>
      <c r="C3025" s="12" t="s">
        <v>3323</v>
      </c>
      <c r="D3025" s="60"/>
      <c r="E3025" s="39" t="str">
        <f>HYPERLINK("https://www.google.ru/search?q=6012823-100&amp;newwindow=1&amp;tbm=isch","Еще фото")</f>
        <v>Еще фото</v>
      </c>
      <c r="F3025" s="13"/>
      <c r="G3025" s="24" t="s">
        <v>2862</v>
      </c>
      <c r="H3025" s="24" t="s">
        <v>27</v>
      </c>
      <c r="I3025" s="24" t="s">
        <v>2784</v>
      </c>
      <c r="J3025" s="14" t="s">
        <v>892</v>
      </c>
      <c r="K3025" s="15" t="s">
        <v>30</v>
      </c>
      <c r="L3025" s="58"/>
      <c r="M3025" s="14"/>
      <c r="N3025" s="14" t="s">
        <v>74</v>
      </c>
      <c r="O3025" s="14"/>
      <c r="P3025" s="15" t="s">
        <v>2801</v>
      </c>
      <c r="Q3025" s="16">
        <v>3599</v>
      </c>
      <c r="R3025" s="17">
        <v>40</v>
      </c>
      <c r="S3025" s="18">
        <v>2483.31</v>
      </c>
      <c r="T3025" s="19" t="s">
        <v>36</v>
      </c>
      <c r="U3025" s="20" t="s">
        <v>41</v>
      </c>
      <c r="V3025" s="21" t="s">
        <v>42</v>
      </c>
      <c r="W3025" s="22">
        <v>1</v>
      </c>
      <c r="X3025" s="23"/>
    </row>
    <row r="3026" spans="1:24" s="1" customFormat="1" ht="108" customHeight="1" x14ac:dyDescent="0.3">
      <c r="A3026" s="11" t="s">
        <v>23</v>
      </c>
      <c r="B3026" s="11" t="s">
        <v>3325</v>
      </c>
      <c r="C3026" s="12" t="s">
        <v>3326</v>
      </c>
      <c r="D3026" s="25"/>
      <c r="E3026" s="39" t="str">
        <f>HYPERLINK("https://www.google.ru/search?q=1373098-001&amp;newwindow=1&amp;tbm=isch","Еще фото")</f>
        <v>Еще фото</v>
      </c>
      <c r="F3026" s="13"/>
      <c r="G3026" s="11" t="s">
        <v>3327</v>
      </c>
      <c r="H3026" s="11" t="s">
        <v>576</v>
      </c>
      <c r="I3026" s="14" t="s">
        <v>3328</v>
      </c>
      <c r="J3026" s="14" t="s">
        <v>47</v>
      </c>
      <c r="K3026" s="15" t="s">
        <v>64</v>
      </c>
      <c r="L3026" s="14" t="s">
        <v>3329</v>
      </c>
      <c r="M3026" s="14"/>
      <c r="N3026" s="14" t="s">
        <v>33</v>
      </c>
      <c r="O3026" s="14"/>
      <c r="P3026" s="15" t="s">
        <v>3330</v>
      </c>
      <c r="Q3026" s="16">
        <v>4999</v>
      </c>
      <c r="R3026" s="17">
        <v>68.64</v>
      </c>
      <c r="S3026" s="18">
        <v>1802.9354999999998</v>
      </c>
      <c r="T3026" s="19" t="s">
        <v>580</v>
      </c>
      <c r="U3026" s="20" t="s">
        <v>581</v>
      </c>
      <c r="V3026" s="21" t="s">
        <v>582</v>
      </c>
      <c r="W3026" s="22">
        <v>49</v>
      </c>
      <c r="X3026" s="23"/>
    </row>
    <row r="3027" spans="1:24" s="1" customFormat="1" ht="108" customHeight="1" x14ac:dyDescent="0.3">
      <c r="A3027" s="11" t="s">
        <v>23</v>
      </c>
      <c r="B3027" s="11" t="s">
        <v>3331</v>
      </c>
      <c r="C3027" s="12" t="s">
        <v>3332</v>
      </c>
      <c r="D3027" s="25"/>
      <c r="E3027" s="39" t="str">
        <f>HYPERLINK("https://www.google.ru/search?q=1299899-100&amp;newwindow=1&amp;tbm=isch","Еще фото")</f>
        <v>Еще фото</v>
      </c>
      <c r="F3027" s="13"/>
      <c r="G3027" s="11" t="s">
        <v>3327</v>
      </c>
      <c r="H3027" s="11" t="s">
        <v>576</v>
      </c>
      <c r="I3027" s="14" t="s">
        <v>3328</v>
      </c>
      <c r="J3027" s="14" t="s">
        <v>29</v>
      </c>
      <c r="K3027" s="15" t="s">
        <v>64</v>
      </c>
      <c r="L3027" s="14" t="s">
        <v>3333</v>
      </c>
      <c r="M3027" s="14"/>
      <c r="N3027" s="14" t="s">
        <v>74</v>
      </c>
      <c r="O3027" s="14"/>
      <c r="P3027" s="15" t="s">
        <v>3334</v>
      </c>
      <c r="Q3027" s="16">
        <v>2599</v>
      </c>
      <c r="R3027" s="17">
        <v>49.68</v>
      </c>
      <c r="S3027" s="18">
        <v>1503.9354999999998</v>
      </c>
      <c r="T3027" s="19" t="s">
        <v>580</v>
      </c>
      <c r="U3027" s="20" t="s">
        <v>2024</v>
      </c>
      <c r="V3027" s="21" t="s">
        <v>3335</v>
      </c>
      <c r="W3027" s="22">
        <v>6</v>
      </c>
      <c r="X3027" s="23"/>
    </row>
    <row r="3028" spans="1:24" s="1" customFormat="1" ht="108" customHeight="1" x14ac:dyDescent="0.3">
      <c r="A3028" s="11" t="s">
        <v>23</v>
      </c>
      <c r="B3028" s="11" t="s">
        <v>3336</v>
      </c>
      <c r="C3028" s="12" t="s">
        <v>3337</v>
      </c>
      <c r="D3028" s="25"/>
      <c r="E3028" s="39" t="str">
        <f>HYPERLINK("https://www.google.ru/search?q=6007044-538&amp;newwindow=1&amp;tbm=isch","Еще фото")</f>
        <v>Еще фото</v>
      </c>
      <c r="F3028" s="13"/>
      <c r="G3028" s="11" t="s">
        <v>3327</v>
      </c>
      <c r="H3028" s="11" t="s">
        <v>576</v>
      </c>
      <c r="I3028" s="14" t="s">
        <v>3328</v>
      </c>
      <c r="J3028" s="14" t="s">
        <v>47</v>
      </c>
      <c r="K3028" s="15" t="s">
        <v>64</v>
      </c>
      <c r="L3028" s="14" t="s">
        <v>3338</v>
      </c>
      <c r="M3028" s="14"/>
      <c r="N3028" s="14" t="s">
        <v>67</v>
      </c>
      <c r="O3028" s="14"/>
      <c r="P3028" s="15" t="s">
        <v>3334</v>
      </c>
      <c r="Q3028" s="16">
        <v>2599</v>
      </c>
      <c r="R3028" s="17">
        <v>49.68</v>
      </c>
      <c r="S3028" s="18">
        <v>1503.9354999999998</v>
      </c>
      <c r="T3028" s="19" t="s">
        <v>580</v>
      </c>
      <c r="U3028" s="20" t="s">
        <v>581</v>
      </c>
      <c r="V3028" s="21" t="s">
        <v>582</v>
      </c>
      <c r="W3028" s="22">
        <v>8</v>
      </c>
      <c r="X3028" s="23"/>
    </row>
    <row r="3029" spans="1:24" s="1" customFormat="1" ht="108" customHeight="1" x14ac:dyDescent="0.3">
      <c r="A3029" s="11" t="s">
        <v>23</v>
      </c>
      <c r="B3029" s="11" t="s">
        <v>3331</v>
      </c>
      <c r="C3029" s="12" t="s">
        <v>3339</v>
      </c>
      <c r="D3029" s="25"/>
      <c r="E3029" s="39" t="str">
        <f>HYPERLINK("https://www.google.ru/search?q=1299899-554&amp;newwindow=1&amp;tbm=isch","Еще фото")</f>
        <v>Еще фото</v>
      </c>
      <c r="F3029" s="13"/>
      <c r="G3029" s="11" t="s">
        <v>3327</v>
      </c>
      <c r="H3029" s="11" t="s">
        <v>576</v>
      </c>
      <c r="I3029" s="14" t="s">
        <v>3328</v>
      </c>
      <c r="J3029" s="14" t="s">
        <v>29</v>
      </c>
      <c r="K3029" s="15" t="s">
        <v>64</v>
      </c>
      <c r="L3029" s="14" t="s">
        <v>3333</v>
      </c>
      <c r="M3029" s="14"/>
      <c r="N3029" s="14" t="s">
        <v>67</v>
      </c>
      <c r="O3029" s="14"/>
      <c r="P3029" s="15" t="s">
        <v>3334</v>
      </c>
      <c r="Q3029" s="16">
        <v>2599</v>
      </c>
      <c r="R3029" s="17">
        <v>48.91</v>
      </c>
      <c r="S3029" s="18">
        <v>1526.9354999999998</v>
      </c>
      <c r="T3029" s="19" t="s">
        <v>580</v>
      </c>
      <c r="U3029" s="20" t="s">
        <v>2024</v>
      </c>
      <c r="V3029" s="21" t="s">
        <v>3335</v>
      </c>
      <c r="W3029" s="22">
        <v>1</v>
      </c>
      <c r="X3029" s="23"/>
    </row>
    <row r="3030" spans="1:24" s="1" customFormat="1" ht="108" customHeight="1" x14ac:dyDescent="0.3">
      <c r="A3030" s="11" t="s">
        <v>23</v>
      </c>
      <c r="B3030" s="11" t="s">
        <v>3340</v>
      </c>
      <c r="C3030" s="12" t="s">
        <v>3341</v>
      </c>
      <c r="D3030" s="25"/>
      <c r="E3030" s="39" t="str">
        <f>HYPERLINK("https://www.google.ru/search?q=1365936-500&amp;newwindow=1&amp;tbm=isch","Еще фото")</f>
        <v>Еще фото</v>
      </c>
      <c r="F3030" s="13"/>
      <c r="G3030" s="11" t="s">
        <v>3327</v>
      </c>
      <c r="H3030" s="11" t="s">
        <v>576</v>
      </c>
      <c r="I3030" s="14" t="s">
        <v>3328</v>
      </c>
      <c r="J3030" s="14" t="s">
        <v>47</v>
      </c>
      <c r="K3030" s="15" t="s">
        <v>64</v>
      </c>
      <c r="L3030" s="14" t="s">
        <v>3342</v>
      </c>
      <c r="M3030" s="14" t="s">
        <v>2173</v>
      </c>
      <c r="N3030" s="14" t="s">
        <v>67</v>
      </c>
      <c r="O3030" s="14" t="s">
        <v>671</v>
      </c>
      <c r="P3030" s="15" t="s">
        <v>3334</v>
      </c>
      <c r="Q3030" s="16">
        <v>3499</v>
      </c>
      <c r="R3030" s="17">
        <v>48.91</v>
      </c>
      <c r="S3030" s="18">
        <v>2055.9355</v>
      </c>
      <c r="T3030" s="19" t="s">
        <v>580</v>
      </c>
      <c r="U3030" s="20" t="s">
        <v>581</v>
      </c>
      <c r="V3030" s="21" t="s">
        <v>582</v>
      </c>
      <c r="W3030" s="22">
        <v>6</v>
      </c>
      <c r="X3030" s="23"/>
    </row>
    <row r="3031" spans="1:24" s="1" customFormat="1" ht="108" customHeight="1" x14ac:dyDescent="0.3">
      <c r="A3031" s="11" t="s">
        <v>23</v>
      </c>
      <c r="B3031" s="11" t="s">
        <v>3343</v>
      </c>
      <c r="C3031" s="12" t="s">
        <v>3344</v>
      </c>
      <c r="D3031" s="25"/>
      <c r="E3031" s="39" t="str">
        <f>HYPERLINK("https://www.google.ru/search?q=1373098-767&amp;newwindow=1&amp;tbm=isch","Еще фото")</f>
        <v>Еще фото</v>
      </c>
      <c r="F3031" s="13"/>
      <c r="G3031" s="11" t="s">
        <v>3327</v>
      </c>
      <c r="H3031" s="11" t="s">
        <v>576</v>
      </c>
      <c r="I3031" s="14" t="s">
        <v>3328</v>
      </c>
      <c r="J3031" s="14" t="s">
        <v>47</v>
      </c>
      <c r="K3031" s="15" t="s">
        <v>64</v>
      </c>
      <c r="L3031" s="14" t="s">
        <v>3345</v>
      </c>
      <c r="M3031" s="14"/>
      <c r="N3031" s="14" t="s">
        <v>67</v>
      </c>
      <c r="O3031" s="14"/>
      <c r="P3031" s="15" t="s">
        <v>3346</v>
      </c>
      <c r="Q3031" s="16">
        <v>5399</v>
      </c>
      <c r="R3031" s="17">
        <v>48.74</v>
      </c>
      <c r="S3031" s="18">
        <v>3182.9354999999996</v>
      </c>
      <c r="T3031" s="19" t="s">
        <v>580</v>
      </c>
      <c r="U3031" s="20" t="s">
        <v>581</v>
      </c>
      <c r="V3031" s="21" t="s">
        <v>582</v>
      </c>
      <c r="W3031" s="22">
        <v>6</v>
      </c>
      <c r="X3031" s="23"/>
    </row>
    <row r="3032" spans="1:24" s="1" customFormat="1" ht="108" customHeight="1" x14ac:dyDescent="0.3">
      <c r="A3032" s="11" t="s">
        <v>23</v>
      </c>
      <c r="B3032" s="11" t="s">
        <v>3347</v>
      </c>
      <c r="C3032" s="12" t="s">
        <v>3348</v>
      </c>
      <c r="D3032" s="25"/>
      <c r="E3032" s="39" t="str">
        <f>HYPERLINK("https://www.google.ru/search?q=1373155-390&amp;newwindow=1&amp;tbm=isch","Еще фото")</f>
        <v>Еще фото</v>
      </c>
      <c r="F3032" s="13"/>
      <c r="G3032" s="11" t="s">
        <v>3327</v>
      </c>
      <c r="H3032" s="11" t="s">
        <v>576</v>
      </c>
      <c r="I3032" s="14" t="s">
        <v>3328</v>
      </c>
      <c r="J3032" s="14" t="s">
        <v>29</v>
      </c>
      <c r="K3032" s="15" t="s">
        <v>30</v>
      </c>
      <c r="L3032" s="14" t="s">
        <v>3349</v>
      </c>
      <c r="M3032" s="14"/>
      <c r="N3032" s="14" t="s">
        <v>125</v>
      </c>
      <c r="O3032" s="14"/>
      <c r="P3032" s="15" t="s">
        <v>3334</v>
      </c>
      <c r="Q3032" s="16">
        <v>2399</v>
      </c>
      <c r="R3032" s="17">
        <v>40</v>
      </c>
      <c r="S3032" s="18">
        <v>1655.31</v>
      </c>
      <c r="T3032" s="19" t="s">
        <v>580</v>
      </c>
      <c r="U3032" s="20" t="s">
        <v>581</v>
      </c>
      <c r="V3032" s="21" t="s">
        <v>3350</v>
      </c>
      <c r="W3032" s="22">
        <v>2</v>
      </c>
      <c r="X3032" s="23"/>
    </row>
    <row r="3033" spans="1:24" s="1" customFormat="1" ht="108" customHeight="1" x14ac:dyDescent="0.3">
      <c r="A3033" s="11" t="s">
        <v>23</v>
      </c>
      <c r="B3033" s="11" t="s">
        <v>3351</v>
      </c>
      <c r="C3033" s="12" t="s">
        <v>3352</v>
      </c>
      <c r="D3033" s="25"/>
      <c r="E3033" s="39" t="str">
        <f>HYPERLINK("https://www.google.ru/search?q=1379995-100&amp;newwindow=1&amp;tbm=isch","Еще фото")</f>
        <v>Еще фото</v>
      </c>
      <c r="F3033" s="13"/>
      <c r="G3033" s="11" t="s">
        <v>3327</v>
      </c>
      <c r="H3033" s="11" t="s">
        <v>576</v>
      </c>
      <c r="I3033" s="14" t="s">
        <v>3328</v>
      </c>
      <c r="J3033" s="14" t="s">
        <v>29</v>
      </c>
      <c r="K3033" s="15" t="s">
        <v>64</v>
      </c>
      <c r="L3033" s="14" t="s">
        <v>3353</v>
      </c>
      <c r="M3033" s="14"/>
      <c r="N3033" s="14" t="s">
        <v>1612</v>
      </c>
      <c r="O3033" s="14"/>
      <c r="P3033" s="15" t="s">
        <v>3334</v>
      </c>
      <c r="Q3033" s="16">
        <v>3699</v>
      </c>
      <c r="R3033" s="17">
        <v>40</v>
      </c>
      <c r="S3033" s="18">
        <v>2552.31</v>
      </c>
      <c r="T3033" s="19" t="s">
        <v>580</v>
      </c>
      <c r="U3033" s="20" t="s">
        <v>581</v>
      </c>
      <c r="V3033" s="21" t="s">
        <v>582</v>
      </c>
      <c r="W3033" s="22">
        <v>1</v>
      </c>
      <c r="X3033" s="23"/>
    </row>
    <row r="3034" spans="1:24" s="1" customFormat="1" ht="108" customHeight="1" x14ac:dyDescent="0.3">
      <c r="A3034" s="11" t="s">
        <v>23</v>
      </c>
      <c r="B3034" s="11" t="s">
        <v>3354</v>
      </c>
      <c r="C3034" s="12" t="s">
        <v>3355</v>
      </c>
      <c r="D3034" s="25"/>
      <c r="E3034" s="39" t="str">
        <f>HYPERLINK("https://www.google.ru/search?q=1386634-305&amp;newwindow=1&amp;tbm=isch","Еще фото")</f>
        <v>Еще фото</v>
      </c>
      <c r="F3034" s="13" t="s">
        <v>98</v>
      </c>
      <c r="G3034" s="11" t="s">
        <v>3327</v>
      </c>
      <c r="H3034" s="11" t="s">
        <v>576</v>
      </c>
      <c r="I3034" s="14" t="s">
        <v>3328</v>
      </c>
      <c r="J3034" s="14" t="s">
        <v>47</v>
      </c>
      <c r="K3034" s="15" t="s">
        <v>30</v>
      </c>
      <c r="L3034" s="14" t="s">
        <v>3356</v>
      </c>
      <c r="M3034" s="14"/>
      <c r="N3034" s="14" t="s">
        <v>125</v>
      </c>
      <c r="O3034" s="14"/>
      <c r="P3034" s="15" t="s">
        <v>3357</v>
      </c>
      <c r="Q3034" s="16">
        <v>2999</v>
      </c>
      <c r="R3034" s="17">
        <v>40</v>
      </c>
      <c r="S3034" s="18">
        <v>2069.31</v>
      </c>
      <c r="T3034" s="19" t="s">
        <v>580</v>
      </c>
      <c r="U3034" s="20" t="s">
        <v>581</v>
      </c>
      <c r="V3034" s="21" t="s">
        <v>3350</v>
      </c>
      <c r="W3034" s="22">
        <v>2</v>
      </c>
      <c r="X3034" s="23"/>
    </row>
    <row r="3035" spans="1:24" s="1" customFormat="1" ht="108" customHeight="1" x14ac:dyDescent="0.3">
      <c r="A3035" s="11" t="s">
        <v>23</v>
      </c>
      <c r="B3035" s="11" t="s">
        <v>3358</v>
      </c>
      <c r="C3035" s="12" t="s">
        <v>3359</v>
      </c>
      <c r="D3035" s="25"/>
      <c r="E3035" s="39" t="str">
        <f>HYPERLINK("https://www.google.ru/search?q=1373120-001&amp;newwindow=1&amp;tbm=isch","Еще фото")</f>
        <v>Еще фото</v>
      </c>
      <c r="F3035" s="13"/>
      <c r="G3035" s="11" t="s">
        <v>3360</v>
      </c>
      <c r="H3035" s="11" t="s">
        <v>576</v>
      </c>
      <c r="I3035" s="14" t="s">
        <v>3361</v>
      </c>
      <c r="J3035" s="14" t="s">
        <v>29</v>
      </c>
      <c r="K3035" s="15" t="s">
        <v>30</v>
      </c>
      <c r="L3035" s="14" t="s">
        <v>3362</v>
      </c>
      <c r="M3035" s="14" t="s">
        <v>32</v>
      </c>
      <c r="N3035" s="14" t="s">
        <v>33</v>
      </c>
      <c r="O3035" s="14"/>
      <c r="P3035" s="15" t="s">
        <v>3363</v>
      </c>
      <c r="Q3035" s="16">
        <v>4399</v>
      </c>
      <c r="R3035" s="17">
        <v>40</v>
      </c>
      <c r="S3035" s="18">
        <v>3035.31</v>
      </c>
      <c r="T3035" s="19" t="s">
        <v>580</v>
      </c>
      <c r="U3035" s="20" t="s">
        <v>581</v>
      </c>
      <c r="V3035" s="21" t="s">
        <v>2025</v>
      </c>
      <c r="W3035" s="22">
        <v>1</v>
      </c>
      <c r="X3035" s="23"/>
    </row>
    <row r="3036" spans="1:24" s="1" customFormat="1" ht="21" customHeight="1" x14ac:dyDescent="0.3">
      <c r="A3036" s="11" t="s">
        <v>23</v>
      </c>
      <c r="B3036" s="11" t="s">
        <v>3364</v>
      </c>
      <c r="C3036" s="26" t="s">
        <v>3365</v>
      </c>
      <c r="D3036" s="53"/>
      <c r="E3036" s="39" t="str">
        <f>HYPERLINK("https://www.google.ru/search?q=1387773-800&amp;newwindow=1&amp;tbm=isch","Еще фото")</f>
        <v>Еще фото</v>
      </c>
      <c r="F3036" s="13"/>
      <c r="G3036" s="11" t="s">
        <v>3366</v>
      </c>
      <c r="H3036" s="11" t="s">
        <v>27</v>
      </c>
      <c r="I3036" s="14" t="s">
        <v>3366</v>
      </c>
      <c r="J3036" s="14" t="s">
        <v>29</v>
      </c>
      <c r="K3036" s="15" t="s">
        <v>30</v>
      </c>
      <c r="L3036" s="56" t="s">
        <v>3367</v>
      </c>
      <c r="M3036" s="14"/>
      <c r="N3036" s="14" t="s">
        <v>434</v>
      </c>
      <c r="O3036" s="14"/>
      <c r="P3036" s="15" t="s">
        <v>779</v>
      </c>
      <c r="Q3036" s="16">
        <v>12099</v>
      </c>
      <c r="R3036" s="17">
        <v>59.52</v>
      </c>
      <c r="S3036" s="18">
        <v>5632.4355000000005</v>
      </c>
      <c r="T3036" s="19" t="s">
        <v>36</v>
      </c>
      <c r="U3036" s="20" t="s">
        <v>37</v>
      </c>
      <c r="V3036" s="21" t="s">
        <v>38</v>
      </c>
      <c r="W3036" s="22">
        <v>11</v>
      </c>
      <c r="X3036" s="23"/>
    </row>
    <row r="3037" spans="1:24" s="1" customFormat="1" ht="21" customHeight="1" x14ac:dyDescent="0.3">
      <c r="A3037" s="24" t="s">
        <v>23</v>
      </c>
      <c r="B3037" s="24" t="s">
        <v>3364</v>
      </c>
      <c r="C3037" s="27" t="s">
        <v>3365</v>
      </c>
      <c r="D3037" s="54"/>
      <c r="E3037" s="39" t="str">
        <f>HYPERLINK("https://www.google.ru/search?q=1387773-800&amp;newwindow=1&amp;tbm=isch","Еще фото")</f>
        <v>Еще фото</v>
      </c>
      <c r="F3037" s="13"/>
      <c r="G3037" s="24" t="s">
        <v>3366</v>
      </c>
      <c r="H3037" s="24" t="s">
        <v>27</v>
      </c>
      <c r="I3037" s="24" t="s">
        <v>3366</v>
      </c>
      <c r="J3037" s="14" t="s">
        <v>29</v>
      </c>
      <c r="K3037" s="15" t="s">
        <v>30</v>
      </c>
      <c r="L3037" s="57"/>
      <c r="M3037" s="14"/>
      <c r="N3037" s="14" t="s">
        <v>434</v>
      </c>
      <c r="O3037" s="14"/>
      <c r="P3037" s="15" t="s">
        <v>779</v>
      </c>
      <c r="Q3037" s="16">
        <v>12099</v>
      </c>
      <c r="R3037" s="17">
        <v>59.52</v>
      </c>
      <c r="S3037" s="18">
        <v>5632.4355000000005</v>
      </c>
      <c r="T3037" s="19" t="s">
        <v>36</v>
      </c>
      <c r="U3037" s="20" t="s">
        <v>39</v>
      </c>
      <c r="V3037" s="21" t="s">
        <v>40</v>
      </c>
      <c r="W3037" s="22">
        <v>13</v>
      </c>
      <c r="X3037" s="23"/>
    </row>
    <row r="3038" spans="1:24" s="1" customFormat="1" ht="21" customHeight="1" x14ac:dyDescent="0.3">
      <c r="A3038" s="24" t="s">
        <v>23</v>
      </c>
      <c r="B3038" s="24" t="s">
        <v>3364</v>
      </c>
      <c r="C3038" s="27" t="s">
        <v>3365</v>
      </c>
      <c r="D3038" s="54"/>
      <c r="E3038" s="39" t="str">
        <f>HYPERLINK("https://www.google.ru/search?q=1387773-800&amp;newwindow=1&amp;tbm=isch","Еще фото")</f>
        <v>Еще фото</v>
      </c>
      <c r="F3038" s="13"/>
      <c r="G3038" s="24" t="s">
        <v>3366</v>
      </c>
      <c r="H3038" s="24" t="s">
        <v>27</v>
      </c>
      <c r="I3038" s="24" t="s">
        <v>3366</v>
      </c>
      <c r="J3038" s="14" t="s">
        <v>29</v>
      </c>
      <c r="K3038" s="15" t="s">
        <v>30</v>
      </c>
      <c r="L3038" s="57"/>
      <c r="M3038" s="14"/>
      <c r="N3038" s="14" t="s">
        <v>434</v>
      </c>
      <c r="O3038" s="14"/>
      <c r="P3038" s="15" t="s">
        <v>779</v>
      </c>
      <c r="Q3038" s="16">
        <v>12099</v>
      </c>
      <c r="R3038" s="17">
        <v>59.52</v>
      </c>
      <c r="S3038" s="18">
        <v>5632.4355000000005</v>
      </c>
      <c r="T3038" s="19" t="s">
        <v>36</v>
      </c>
      <c r="U3038" s="20" t="s">
        <v>41</v>
      </c>
      <c r="V3038" s="21" t="s">
        <v>42</v>
      </c>
      <c r="W3038" s="22">
        <v>5</v>
      </c>
      <c r="X3038" s="23"/>
    </row>
    <row r="3039" spans="1:24" s="1" customFormat="1" ht="21" customHeight="1" x14ac:dyDescent="0.3">
      <c r="A3039" s="24" t="s">
        <v>23</v>
      </c>
      <c r="B3039" s="24" t="s">
        <v>3364</v>
      </c>
      <c r="C3039" s="27" t="s">
        <v>3365</v>
      </c>
      <c r="D3039" s="54"/>
      <c r="E3039" s="39" t="str">
        <f>HYPERLINK("https://www.google.ru/search?q=1387773-800&amp;newwindow=1&amp;tbm=isch","Еще фото")</f>
        <v>Еще фото</v>
      </c>
      <c r="F3039" s="13"/>
      <c r="G3039" s="24" t="s">
        <v>3366</v>
      </c>
      <c r="H3039" s="24" t="s">
        <v>27</v>
      </c>
      <c r="I3039" s="24" t="s">
        <v>3366</v>
      </c>
      <c r="J3039" s="14" t="s">
        <v>29</v>
      </c>
      <c r="K3039" s="15" t="s">
        <v>30</v>
      </c>
      <c r="L3039" s="57"/>
      <c r="M3039" s="14"/>
      <c r="N3039" s="14" t="s">
        <v>434</v>
      </c>
      <c r="O3039" s="14"/>
      <c r="P3039" s="15" t="s">
        <v>779</v>
      </c>
      <c r="Q3039" s="16">
        <v>12099</v>
      </c>
      <c r="R3039" s="17">
        <v>59.52</v>
      </c>
      <c r="S3039" s="18">
        <v>5632.4355000000005</v>
      </c>
      <c r="T3039" s="19" t="s">
        <v>36</v>
      </c>
      <c r="U3039" s="20" t="s">
        <v>43</v>
      </c>
      <c r="V3039" s="21" t="s">
        <v>44</v>
      </c>
      <c r="W3039" s="22">
        <v>1</v>
      </c>
      <c r="X3039" s="23"/>
    </row>
    <row r="3040" spans="1:24" s="1" customFormat="1" ht="32.1" customHeight="1" x14ac:dyDescent="0.3">
      <c r="A3040" s="24" t="s">
        <v>23</v>
      </c>
      <c r="B3040" s="24" t="s">
        <v>3364</v>
      </c>
      <c r="C3040" s="27" t="s">
        <v>3365</v>
      </c>
      <c r="D3040" s="55"/>
      <c r="E3040" s="39" t="str">
        <f>HYPERLINK("https://www.google.ru/search?q=1387773-800&amp;newwindow=1&amp;tbm=isch","Еще фото")</f>
        <v>Еще фото</v>
      </c>
      <c r="F3040" s="13"/>
      <c r="G3040" s="24" t="s">
        <v>3366</v>
      </c>
      <c r="H3040" s="24" t="s">
        <v>27</v>
      </c>
      <c r="I3040" s="24" t="s">
        <v>3366</v>
      </c>
      <c r="J3040" s="14" t="s">
        <v>29</v>
      </c>
      <c r="K3040" s="15" t="s">
        <v>30</v>
      </c>
      <c r="L3040" s="58"/>
      <c r="M3040" s="14"/>
      <c r="N3040" s="14" t="s">
        <v>434</v>
      </c>
      <c r="O3040" s="14"/>
      <c r="P3040" s="15" t="s">
        <v>779</v>
      </c>
      <c r="Q3040" s="16">
        <v>12099</v>
      </c>
      <c r="R3040" s="17">
        <v>59.52</v>
      </c>
      <c r="S3040" s="18">
        <v>5632.4355000000005</v>
      </c>
      <c r="T3040" s="19" t="s">
        <v>36</v>
      </c>
      <c r="U3040" s="20" t="s">
        <v>104</v>
      </c>
      <c r="V3040" s="21" t="s">
        <v>105</v>
      </c>
      <c r="W3040" s="22">
        <v>1</v>
      </c>
      <c r="X3040" s="23"/>
    </row>
    <row r="3041" spans="1:24" s="1" customFormat="1" ht="108" customHeight="1" x14ac:dyDescent="0.3">
      <c r="A3041" s="11" t="s">
        <v>23</v>
      </c>
      <c r="B3041" s="11" t="s">
        <v>3368</v>
      </c>
      <c r="C3041" s="12" t="s">
        <v>3369</v>
      </c>
      <c r="D3041" s="25"/>
      <c r="E3041" s="39" t="str">
        <f>HYPERLINK("https://www.google.ru/search?q=1361515-066&amp;newwindow=1&amp;tbm=isch","Еще фото")</f>
        <v>Еще фото</v>
      </c>
      <c r="F3041" s="13"/>
      <c r="G3041" s="11" t="s">
        <v>3366</v>
      </c>
      <c r="H3041" s="11" t="s">
        <v>27</v>
      </c>
      <c r="I3041" s="14" t="s">
        <v>3366</v>
      </c>
      <c r="J3041" s="14" t="s">
        <v>47</v>
      </c>
      <c r="K3041" s="15" t="s">
        <v>30</v>
      </c>
      <c r="L3041" s="14" t="s">
        <v>3370</v>
      </c>
      <c r="M3041" s="14" t="s">
        <v>32</v>
      </c>
      <c r="N3041" s="14" t="s">
        <v>84</v>
      </c>
      <c r="O3041" s="14" t="s">
        <v>34</v>
      </c>
      <c r="P3041" s="15" t="s">
        <v>3371</v>
      </c>
      <c r="Q3041" s="16">
        <v>10999</v>
      </c>
      <c r="R3041" s="17">
        <v>56.11</v>
      </c>
      <c r="S3041" s="18">
        <v>5551.9355000000005</v>
      </c>
      <c r="T3041" s="19" t="s">
        <v>36</v>
      </c>
      <c r="U3041" s="20" t="s">
        <v>37</v>
      </c>
      <c r="V3041" s="21" t="s">
        <v>38</v>
      </c>
      <c r="W3041" s="22">
        <v>4</v>
      </c>
      <c r="X3041" s="23"/>
    </row>
    <row r="3042" spans="1:24" s="1" customFormat="1" ht="35.1" customHeight="1" x14ac:dyDescent="0.3">
      <c r="A3042" s="11" t="s">
        <v>23</v>
      </c>
      <c r="B3042" s="11" t="s">
        <v>3372</v>
      </c>
      <c r="C3042" s="12" t="s">
        <v>3373</v>
      </c>
      <c r="D3042" s="53"/>
      <c r="E3042" s="39" t="str">
        <f>HYPERLINK("https://www.google.ru/search?q=1390075-690&amp;newwindow=1&amp;tbm=isch","Еще фото")</f>
        <v>Еще фото</v>
      </c>
      <c r="F3042" s="13"/>
      <c r="G3042" s="11" t="s">
        <v>3366</v>
      </c>
      <c r="H3042" s="11" t="s">
        <v>27</v>
      </c>
      <c r="I3042" s="14" t="s">
        <v>3366</v>
      </c>
      <c r="J3042" s="14" t="s">
        <v>29</v>
      </c>
      <c r="K3042" s="15" t="s">
        <v>54</v>
      </c>
      <c r="L3042" s="56" t="s">
        <v>3374</v>
      </c>
      <c r="M3042" s="14"/>
      <c r="N3042" s="14" t="s">
        <v>140</v>
      </c>
      <c r="O3042" s="14"/>
      <c r="P3042" s="15" t="s">
        <v>51</v>
      </c>
      <c r="Q3042" s="16">
        <v>2899</v>
      </c>
      <c r="R3042" s="17">
        <v>53.16</v>
      </c>
      <c r="S3042" s="18">
        <v>1561.4354999999998</v>
      </c>
      <c r="T3042" s="19" t="s">
        <v>36</v>
      </c>
      <c r="U3042" s="20" t="s">
        <v>126</v>
      </c>
      <c r="V3042" s="21" t="s">
        <v>127</v>
      </c>
      <c r="W3042" s="22">
        <v>5</v>
      </c>
      <c r="X3042" s="23"/>
    </row>
    <row r="3043" spans="1:24" s="1" customFormat="1" ht="35.1" customHeight="1" x14ac:dyDescent="0.3">
      <c r="A3043" s="24" t="s">
        <v>23</v>
      </c>
      <c r="B3043" s="24" t="s">
        <v>3372</v>
      </c>
      <c r="C3043" s="12" t="s">
        <v>3373</v>
      </c>
      <c r="D3043" s="54"/>
      <c r="E3043" s="39" t="str">
        <f>HYPERLINK("https://www.google.ru/search?q=1390075-690&amp;newwindow=1&amp;tbm=isch","Еще фото")</f>
        <v>Еще фото</v>
      </c>
      <c r="F3043" s="13"/>
      <c r="G3043" s="24" t="s">
        <v>3366</v>
      </c>
      <c r="H3043" s="24" t="s">
        <v>27</v>
      </c>
      <c r="I3043" s="24" t="s">
        <v>3366</v>
      </c>
      <c r="J3043" s="14" t="s">
        <v>29</v>
      </c>
      <c r="K3043" s="15" t="s">
        <v>54</v>
      </c>
      <c r="L3043" s="57"/>
      <c r="M3043" s="14"/>
      <c r="N3043" s="14" t="s">
        <v>140</v>
      </c>
      <c r="O3043" s="14"/>
      <c r="P3043" s="15" t="s">
        <v>51</v>
      </c>
      <c r="Q3043" s="16">
        <v>2899</v>
      </c>
      <c r="R3043" s="17">
        <v>53.16</v>
      </c>
      <c r="S3043" s="18">
        <v>1561.4354999999998</v>
      </c>
      <c r="T3043" s="19" t="s">
        <v>36</v>
      </c>
      <c r="U3043" s="20" t="s">
        <v>128</v>
      </c>
      <c r="V3043" s="21" t="s">
        <v>129</v>
      </c>
      <c r="W3043" s="22">
        <v>2</v>
      </c>
      <c r="X3043" s="23"/>
    </row>
    <row r="3044" spans="1:24" s="1" customFormat="1" ht="36.950000000000003" customHeight="1" x14ac:dyDescent="0.3">
      <c r="A3044" s="24" t="s">
        <v>23</v>
      </c>
      <c r="B3044" s="24" t="s">
        <v>3372</v>
      </c>
      <c r="C3044" s="12" t="s">
        <v>3373</v>
      </c>
      <c r="D3044" s="55"/>
      <c r="E3044" s="39" t="str">
        <f>HYPERLINK("https://www.google.ru/search?q=1390075-690&amp;newwindow=1&amp;tbm=isch","Еще фото")</f>
        <v>Еще фото</v>
      </c>
      <c r="F3044" s="13"/>
      <c r="G3044" s="24" t="s">
        <v>3366</v>
      </c>
      <c r="H3044" s="24" t="s">
        <v>27</v>
      </c>
      <c r="I3044" s="24" t="s">
        <v>3366</v>
      </c>
      <c r="J3044" s="14" t="s">
        <v>29</v>
      </c>
      <c r="K3044" s="15" t="s">
        <v>54</v>
      </c>
      <c r="L3044" s="58"/>
      <c r="M3044" s="14"/>
      <c r="N3044" s="14" t="s">
        <v>140</v>
      </c>
      <c r="O3044" s="14"/>
      <c r="P3044" s="15" t="s">
        <v>51</v>
      </c>
      <c r="Q3044" s="16">
        <v>2899</v>
      </c>
      <c r="R3044" s="17">
        <v>53.16</v>
      </c>
      <c r="S3044" s="18">
        <v>1561.4354999999998</v>
      </c>
      <c r="T3044" s="19" t="s">
        <v>36</v>
      </c>
      <c r="U3044" s="20" t="s">
        <v>59</v>
      </c>
      <c r="V3044" s="21" t="s">
        <v>60</v>
      </c>
      <c r="W3044" s="22">
        <v>10</v>
      </c>
      <c r="X3044" s="23"/>
    </row>
    <row r="3045" spans="1:24" s="1" customFormat="1" ht="21" customHeight="1" x14ac:dyDescent="0.3">
      <c r="A3045" s="11" t="s">
        <v>23</v>
      </c>
      <c r="B3045" s="11" t="s">
        <v>3375</v>
      </c>
      <c r="C3045" s="26" t="s">
        <v>3376</v>
      </c>
      <c r="D3045" s="53"/>
      <c r="E3045" s="39" t="str">
        <f>HYPERLINK("https://www.google.ru/search?q=1379785-025&amp;newwindow=1&amp;tbm=isch","Еще фото")</f>
        <v>Еще фото</v>
      </c>
      <c r="F3045" s="13"/>
      <c r="G3045" s="11" t="s">
        <v>3366</v>
      </c>
      <c r="H3045" s="11" t="s">
        <v>27</v>
      </c>
      <c r="I3045" s="14" t="s">
        <v>3366</v>
      </c>
      <c r="J3045" s="14" t="s">
        <v>47</v>
      </c>
      <c r="K3045" s="15" t="s">
        <v>54</v>
      </c>
      <c r="L3045" s="56" t="s">
        <v>3377</v>
      </c>
      <c r="M3045" s="14"/>
      <c r="N3045" s="14" t="s">
        <v>84</v>
      </c>
      <c r="O3045" s="14"/>
      <c r="P3045" s="15" t="s">
        <v>113</v>
      </c>
      <c r="Q3045" s="16">
        <v>4199</v>
      </c>
      <c r="R3045" s="17">
        <v>53.14</v>
      </c>
      <c r="S3045" s="18">
        <v>2262.9354999999996</v>
      </c>
      <c r="T3045" s="19" t="s">
        <v>36</v>
      </c>
      <c r="U3045" s="20" t="s">
        <v>114</v>
      </c>
      <c r="V3045" s="21" t="s">
        <v>115</v>
      </c>
      <c r="W3045" s="22">
        <v>5</v>
      </c>
      <c r="X3045" s="23"/>
    </row>
    <row r="3046" spans="1:24" s="1" customFormat="1" ht="21" customHeight="1" x14ac:dyDescent="0.3">
      <c r="A3046" s="24" t="s">
        <v>23</v>
      </c>
      <c r="B3046" s="24" t="s">
        <v>3375</v>
      </c>
      <c r="C3046" s="27" t="s">
        <v>3376</v>
      </c>
      <c r="D3046" s="54"/>
      <c r="E3046" s="39" t="str">
        <f>HYPERLINK("https://www.google.ru/search?q=1379785-025&amp;newwindow=1&amp;tbm=isch","Еще фото")</f>
        <v>Еще фото</v>
      </c>
      <c r="F3046" s="13"/>
      <c r="G3046" s="24" t="s">
        <v>3366</v>
      </c>
      <c r="H3046" s="24" t="s">
        <v>27</v>
      </c>
      <c r="I3046" s="24" t="s">
        <v>3366</v>
      </c>
      <c r="J3046" s="14" t="s">
        <v>47</v>
      </c>
      <c r="K3046" s="15" t="s">
        <v>54</v>
      </c>
      <c r="L3046" s="57"/>
      <c r="M3046" s="14"/>
      <c r="N3046" s="14" t="s">
        <v>84</v>
      </c>
      <c r="O3046" s="14"/>
      <c r="P3046" s="15" t="s">
        <v>113</v>
      </c>
      <c r="Q3046" s="16">
        <v>4199</v>
      </c>
      <c r="R3046" s="17">
        <v>53.14</v>
      </c>
      <c r="S3046" s="18">
        <v>2262.9354999999996</v>
      </c>
      <c r="T3046" s="19" t="s">
        <v>36</v>
      </c>
      <c r="U3046" s="20" t="s">
        <v>126</v>
      </c>
      <c r="V3046" s="21" t="s">
        <v>127</v>
      </c>
      <c r="W3046" s="22">
        <v>6</v>
      </c>
      <c r="X3046" s="23"/>
    </row>
    <row r="3047" spans="1:24" s="1" customFormat="1" ht="21" customHeight="1" x14ac:dyDescent="0.3">
      <c r="A3047" s="24" t="s">
        <v>23</v>
      </c>
      <c r="B3047" s="24" t="s">
        <v>3375</v>
      </c>
      <c r="C3047" s="27" t="s">
        <v>3376</v>
      </c>
      <c r="D3047" s="54"/>
      <c r="E3047" s="39" t="str">
        <f>HYPERLINK("https://www.google.ru/search?q=1379785-025&amp;newwindow=1&amp;tbm=isch","Еще фото")</f>
        <v>Еще фото</v>
      </c>
      <c r="F3047" s="13"/>
      <c r="G3047" s="24" t="s">
        <v>3366</v>
      </c>
      <c r="H3047" s="24" t="s">
        <v>27</v>
      </c>
      <c r="I3047" s="24" t="s">
        <v>3366</v>
      </c>
      <c r="J3047" s="14" t="s">
        <v>47</v>
      </c>
      <c r="K3047" s="15" t="s">
        <v>54</v>
      </c>
      <c r="L3047" s="57"/>
      <c r="M3047" s="14"/>
      <c r="N3047" s="14" t="s">
        <v>84</v>
      </c>
      <c r="O3047" s="14"/>
      <c r="P3047" s="15" t="s">
        <v>113</v>
      </c>
      <c r="Q3047" s="16">
        <v>4199</v>
      </c>
      <c r="R3047" s="17">
        <v>53.14</v>
      </c>
      <c r="S3047" s="18">
        <v>2262.9354999999996</v>
      </c>
      <c r="T3047" s="19" t="s">
        <v>36</v>
      </c>
      <c r="U3047" s="20" t="s">
        <v>128</v>
      </c>
      <c r="V3047" s="21" t="s">
        <v>129</v>
      </c>
      <c r="W3047" s="22">
        <v>3</v>
      </c>
      <c r="X3047" s="23"/>
    </row>
    <row r="3048" spans="1:24" s="1" customFormat="1" ht="21" customHeight="1" x14ac:dyDescent="0.3">
      <c r="A3048" s="24" t="s">
        <v>23</v>
      </c>
      <c r="B3048" s="24" t="s">
        <v>3375</v>
      </c>
      <c r="C3048" s="27" t="s">
        <v>3376</v>
      </c>
      <c r="D3048" s="54"/>
      <c r="E3048" s="39" t="str">
        <f>HYPERLINK("https://www.google.ru/search?q=1379785-025&amp;newwindow=1&amp;tbm=isch","Еще фото")</f>
        <v>Еще фото</v>
      </c>
      <c r="F3048" s="13"/>
      <c r="G3048" s="24" t="s">
        <v>3366</v>
      </c>
      <c r="H3048" s="24" t="s">
        <v>27</v>
      </c>
      <c r="I3048" s="24" t="s">
        <v>3366</v>
      </c>
      <c r="J3048" s="14" t="s">
        <v>47</v>
      </c>
      <c r="K3048" s="15" t="s">
        <v>54</v>
      </c>
      <c r="L3048" s="57"/>
      <c r="M3048" s="14"/>
      <c r="N3048" s="14" t="s">
        <v>84</v>
      </c>
      <c r="O3048" s="14"/>
      <c r="P3048" s="15" t="s">
        <v>113</v>
      </c>
      <c r="Q3048" s="16">
        <v>4199</v>
      </c>
      <c r="R3048" s="17">
        <v>53.14</v>
      </c>
      <c r="S3048" s="18">
        <v>2262.9354999999996</v>
      </c>
      <c r="T3048" s="19" t="s">
        <v>36</v>
      </c>
      <c r="U3048" s="20" t="s">
        <v>59</v>
      </c>
      <c r="V3048" s="21" t="s">
        <v>60</v>
      </c>
      <c r="W3048" s="22">
        <v>4</v>
      </c>
      <c r="X3048" s="23"/>
    </row>
    <row r="3049" spans="1:24" s="1" customFormat="1" ht="32.1" customHeight="1" x14ac:dyDescent="0.3">
      <c r="A3049" s="24" t="s">
        <v>23</v>
      </c>
      <c r="B3049" s="24" t="s">
        <v>3375</v>
      </c>
      <c r="C3049" s="27" t="s">
        <v>3376</v>
      </c>
      <c r="D3049" s="55"/>
      <c r="E3049" s="39" t="str">
        <f>HYPERLINK("https://www.google.ru/search?q=1379785-025&amp;newwindow=1&amp;tbm=isch","Еще фото")</f>
        <v>Еще фото</v>
      </c>
      <c r="F3049" s="13"/>
      <c r="G3049" s="24" t="s">
        <v>3366</v>
      </c>
      <c r="H3049" s="24" t="s">
        <v>27</v>
      </c>
      <c r="I3049" s="24" t="s">
        <v>3366</v>
      </c>
      <c r="J3049" s="14" t="s">
        <v>47</v>
      </c>
      <c r="K3049" s="15" t="s">
        <v>54</v>
      </c>
      <c r="L3049" s="58"/>
      <c r="M3049" s="14"/>
      <c r="N3049" s="14" t="s">
        <v>84</v>
      </c>
      <c r="O3049" s="14"/>
      <c r="P3049" s="15" t="s">
        <v>113</v>
      </c>
      <c r="Q3049" s="16">
        <v>4199</v>
      </c>
      <c r="R3049" s="17">
        <v>53.14</v>
      </c>
      <c r="S3049" s="18">
        <v>2262.9354999999996</v>
      </c>
      <c r="T3049" s="19" t="s">
        <v>36</v>
      </c>
      <c r="U3049" s="20" t="s">
        <v>130</v>
      </c>
      <c r="V3049" s="21" t="s">
        <v>131</v>
      </c>
      <c r="W3049" s="22">
        <v>3</v>
      </c>
      <c r="X3049" s="23"/>
    </row>
    <row r="3050" spans="1:24" s="1" customFormat="1" ht="51.95" customHeight="1" x14ac:dyDescent="0.3">
      <c r="A3050" s="11" t="s">
        <v>23</v>
      </c>
      <c r="B3050" s="11" t="s">
        <v>3378</v>
      </c>
      <c r="C3050" s="12" t="s">
        <v>3379</v>
      </c>
      <c r="D3050" s="59"/>
      <c r="E3050" s="39" t="str">
        <f>HYPERLINK("https://www.google.ru/search?q=1377264-011&amp;newwindow=1&amp;tbm=isch","Еще фото")</f>
        <v>Еще фото</v>
      </c>
      <c r="F3050" s="13"/>
      <c r="G3050" s="11" t="s">
        <v>3366</v>
      </c>
      <c r="H3050" s="11" t="s">
        <v>27</v>
      </c>
      <c r="I3050" s="14" t="s">
        <v>3366</v>
      </c>
      <c r="J3050" s="14" t="s">
        <v>29</v>
      </c>
      <c r="K3050" s="15" t="s">
        <v>54</v>
      </c>
      <c r="L3050" s="56" t="s">
        <v>3380</v>
      </c>
      <c r="M3050" s="14"/>
      <c r="N3050" s="14" t="s">
        <v>84</v>
      </c>
      <c r="O3050" s="14"/>
      <c r="P3050" s="15" t="s">
        <v>133</v>
      </c>
      <c r="Q3050" s="16">
        <v>2799</v>
      </c>
      <c r="R3050" s="17">
        <v>49.7</v>
      </c>
      <c r="S3050" s="18">
        <v>1618.9354999999998</v>
      </c>
      <c r="T3050" s="19" t="s">
        <v>36</v>
      </c>
      <c r="U3050" s="20" t="s">
        <v>114</v>
      </c>
      <c r="V3050" s="21" t="s">
        <v>115</v>
      </c>
      <c r="W3050" s="22">
        <v>6</v>
      </c>
      <c r="X3050" s="23"/>
    </row>
    <row r="3051" spans="1:24" s="1" customFormat="1" ht="60.95" customHeight="1" x14ac:dyDescent="0.3">
      <c r="A3051" s="24" t="s">
        <v>23</v>
      </c>
      <c r="B3051" s="24" t="s">
        <v>3378</v>
      </c>
      <c r="C3051" s="12" t="s">
        <v>3379</v>
      </c>
      <c r="D3051" s="60"/>
      <c r="E3051" s="39" t="str">
        <f>HYPERLINK("https://www.google.ru/search?q=1377264-011&amp;newwindow=1&amp;tbm=isch","Еще фото")</f>
        <v>Еще фото</v>
      </c>
      <c r="F3051" s="13"/>
      <c r="G3051" s="24" t="s">
        <v>3366</v>
      </c>
      <c r="H3051" s="24" t="s">
        <v>27</v>
      </c>
      <c r="I3051" s="24" t="s">
        <v>3366</v>
      </c>
      <c r="J3051" s="14" t="s">
        <v>29</v>
      </c>
      <c r="K3051" s="15" t="s">
        <v>54</v>
      </c>
      <c r="L3051" s="58"/>
      <c r="M3051" s="14"/>
      <c r="N3051" s="14" t="s">
        <v>84</v>
      </c>
      <c r="O3051" s="14"/>
      <c r="P3051" s="15" t="s">
        <v>133</v>
      </c>
      <c r="Q3051" s="16">
        <v>2799</v>
      </c>
      <c r="R3051" s="17">
        <v>49.7</v>
      </c>
      <c r="S3051" s="18">
        <v>1618.9354999999998</v>
      </c>
      <c r="T3051" s="19" t="s">
        <v>36</v>
      </c>
      <c r="U3051" s="20" t="s">
        <v>126</v>
      </c>
      <c r="V3051" s="21" t="s">
        <v>127</v>
      </c>
      <c r="W3051" s="22">
        <v>2</v>
      </c>
      <c r="X3051" s="23"/>
    </row>
    <row r="3052" spans="1:24" s="1" customFormat="1" ht="51.95" customHeight="1" x14ac:dyDescent="0.3">
      <c r="A3052" s="11" t="s">
        <v>23</v>
      </c>
      <c r="B3052" s="11" t="s">
        <v>3381</v>
      </c>
      <c r="C3052" s="12" t="s">
        <v>3382</v>
      </c>
      <c r="D3052" s="59"/>
      <c r="E3052" s="39" t="str">
        <f>HYPERLINK("https://www.google.ru/search?q=1389712-001&amp;newwindow=1&amp;tbm=isch","Еще фото")</f>
        <v>Еще фото</v>
      </c>
      <c r="F3052" s="13"/>
      <c r="G3052" s="11" t="s">
        <v>3366</v>
      </c>
      <c r="H3052" s="11" t="s">
        <v>27</v>
      </c>
      <c r="I3052" s="14" t="s">
        <v>3366</v>
      </c>
      <c r="J3052" s="14" t="s">
        <v>29</v>
      </c>
      <c r="K3052" s="15" t="s">
        <v>64</v>
      </c>
      <c r="L3052" s="56" t="s">
        <v>3383</v>
      </c>
      <c r="M3052" s="14"/>
      <c r="N3052" s="14" t="s">
        <v>33</v>
      </c>
      <c r="O3052" s="14"/>
      <c r="P3052" s="15" t="s">
        <v>3140</v>
      </c>
      <c r="Q3052" s="16">
        <v>11099</v>
      </c>
      <c r="R3052" s="17">
        <v>48.84</v>
      </c>
      <c r="S3052" s="18">
        <v>6529.4354999999996</v>
      </c>
      <c r="T3052" s="19" t="s">
        <v>36</v>
      </c>
      <c r="U3052" s="20" t="s">
        <v>39</v>
      </c>
      <c r="V3052" s="21" t="s">
        <v>38</v>
      </c>
      <c r="W3052" s="22">
        <v>1</v>
      </c>
      <c r="X3052" s="23"/>
    </row>
    <row r="3053" spans="1:24" s="1" customFormat="1" ht="60.95" customHeight="1" x14ac:dyDescent="0.3">
      <c r="A3053" s="24" t="s">
        <v>23</v>
      </c>
      <c r="B3053" s="24" t="s">
        <v>3381</v>
      </c>
      <c r="C3053" s="12" t="s">
        <v>3382</v>
      </c>
      <c r="D3053" s="60"/>
      <c r="E3053" s="39" t="str">
        <f>HYPERLINK("https://www.google.ru/search?q=1389712-001&amp;newwindow=1&amp;tbm=isch","Еще фото")</f>
        <v>Еще фото</v>
      </c>
      <c r="F3053" s="13"/>
      <c r="G3053" s="24" t="s">
        <v>3366</v>
      </c>
      <c r="H3053" s="24" t="s">
        <v>27</v>
      </c>
      <c r="I3053" s="24" t="s">
        <v>3366</v>
      </c>
      <c r="J3053" s="14" t="s">
        <v>29</v>
      </c>
      <c r="K3053" s="15" t="s">
        <v>64</v>
      </c>
      <c r="L3053" s="58"/>
      <c r="M3053" s="14"/>
      <c r="N3053" s="14" t="s">
        <v>33</v>
      </c>
      <c r="O3053" s="14"/>
      <c r="P3053" s="15" t="s">
        <v>3140</v>
      </c>
      <c r="Q3053" s="16">
        <v>11099</v>
      </c>
      <c r="R3053" s="17">
        <v>48.84</v>
      </c>
      <c r="S3053" s="18">
        <v>6529.4354999999996</v>
      </c>
      <c r="T3053" s="19" t="s">
        <v>36</v>
      </c>
      <c r="U3053" s="20" t="s">
        <v>41</v>
      </c>
      <c r="V3053" s="21" t="s">
        <v>40</v>
      </c>
      <c r="W3053" s="22">
        <v>4</v>
      </c>
      <c r="X3053" s="23"/>
    </row>
    <row r="3054" spans="1:24" s="1" customFormat="1" ht="21" customHeight="1" x14ac:dyDescent="0.3">
      <c r="A3054" s="11" t="s">
        <v>23</v>
      </c>
      <c r="B3054" s="11" t="s">
        <v>3384</v>
      </c>
      <c r="C3054" s="26" t="s">
        <v>3385</v>
      </c>
      <c r="D3054" s="53"/>
      <c r="E3054" s="39" t="str">
        <f>HYPERLINK("https://www.google.ru/search?q=1386885-505&amp;newwindow=1&amp;tbm=isch","Еще фото")</f>
        <v>Еще фото</v>
      </c>
      <c r="F3054" s="13"/>
      <c r="G3054" s="11" t="s">
        <v>3366</v>
      </c>
      <c r="H3054" s="11" t="s">
        <v>27</v>
      </c>
      <c r="I3054" s="14" t="s">
        <v>3366</v>
      </c>
      <c r="J3054" s="14" t="s">
        <v>29</v>
      </c>
      <c r="K3054" s="15" t="s">
        <v>30</v>
      </c>
      <c r="L3054" s="56" t="s">
        <v>3386</v>
      </c>
      <c r="M3054" s="14"/>
      <c r="N3054" s="14" t="s">
        <v>67</v>
      </c>
      <c r="O3054" s="14"/>
      <c r="P3054" s="15" t="s">
        <v>113</v>
      </c>
      <c r="Q3054" s="16">
        <v>13099</v>
      </c>
      <c r="R3054" s="17">
        <v>48.79</v>
      </c>
      <c r="S3054" s="18">
        <v>7713.9354999999996</v>
      </c>
      <c r="T3054" s="19" t="s">
        <v>36</v>
      </c>
      <c r="U3054" s="20" t="s">
        <v>37</v>
      </c>
      <c r="V3054" s="21" t="s">
        <v>38</v>
      </c>
      <c r="W3054" s="22">
        <v>5</v>
      </c>
      <c r="X3054" s="23"/>
    </row>
    <row r="3055" spans="1:24" s="1" customFormat="1" ht="21" customHeight="1" x14ac:dyDescent="0.3">
      <c r="A3055" s="24" t="s">
        <v>23</v>
      </c>
      <c r="B3055" s="24" t="s">
        <v>3384</v>
      </c>
      <c r="C3055" s="27" t="s">
        <v>3385</v>
      </c>
      <c r="D3055" s="54"/>
      <c r="E3055" s="39" t="str">
        <f>HYPERLINK("https://www.google.ru/search?q=1386885-505&amp;newwindow=1&amp;tbm=isch","Еще фото")</f>
        <v>Еще фото</v>
      </c>
      <c r="F3055" s="13"/>
      <c r="G3055" s="24" t="s">
        <v>3366</v>
      </c>
      <c r="H3055" s="24" t="s">
        <v>27</v>
      </c>
      <c r="I3055" s="24" t="s">
        <v>3366</v>
      </c>
      <c r="J3055" s="14" t="s">
        <v>29</v>
      </c>
      <c r="K3055" s="15" t="s">
        <v>30</v>
      </c>
      <c r="L3055" s="57"/>
      <c r="M3055" s="14"/>
      <c r="N3055" s="14" t="s">
        <v>67</v>
      </c>
      <c r="O3055" s="14"/>
      <c r="P3055" s="15" t="s">
        <v>113</v>
      </c>
      <c r="Q3055" s="16">
        <v>13099</v>
      </c>
      <c r="R3055" s="17">
        <v>48.79</v>
      </c>
      <c r="S3055" s="18">
        <v>7713.9354999999996</v>
      </c>
      <c r="T3055" s="19" t="s">
        <v>36</v>
      </c>
      <c r="U3055" s="20" t="s">
        <v>39</v>
      </c>
      <c r="V3055" s="21" t="s">
        <v>40</v>
      </c>
      <c r="W3055" s="22">
        <v>5</v>
      </c>
      <c r="X3055" s="23"/>
    </row>
    <row r="3056" spans="1:24" s="1" customFormat="1" ht="21" customHeight="1" x14ac:dyDescent="0.3">
      <c r="A3056" s="24" t="s">
        <v>23</v>
      </c>
      <c r="B3056" s="24" t="s">
        <v>3384</v>
      </c>
      <c r="C3056" s="27" t="s">
        <v>3385</v>
      </c>
      <c r="D3056" s="54"/>
      <c r="E3056" s="39" t="str">
        <f>HYPERLINK("https://www.google.ru/search?q=1386885-505&amp;newwindow=1&amp;tbm=isch","Еще фото")</f>
        <v>Еще фото</v>
      </c>
      <c r="F3056" s="13"/>
      <c r="G3056" s="24" t="s">
        <v>3366</v>
      </c>
      <c r="H3056" s="24" t="s">
        <v>27</v>
      </c>
      <c r="I3056" s="24" t="s">
        <v>3366</v>
      </c>
      <c r="J3056" s="14" t="s">
        <v>29</v>
      </c>
      <c r="K3056" s="15" t="s">
        <v>30</v>
      </c>
      <c r="L3056" s="57"/>
      <c r="M3056" s="14"/>
      <c r="N3056" s="14" t="s">
        <v>67</v>
      </c>
      <c r="O3056" s="14"/>
      <c r="P3056" s="15" t="s">
        <v>113</v>
      </c>
      <c r="Q3056" s="16">
        <v>13099</v>
      </c>
      <c r="R3056" s="17">
        <v>48.79</v>
      </c>
      <c r="S3056" s="18">
        <v>7713.9354999999996</v>
      </c>
      <c r="T3056" s="19" t="s">
        <v>36</v>
      </c>
      <c r="U3056" s="20" t="s">
        <v>41</v>
      </c>
      <c r="V3056" s="21" t="s">
        <v>42</v>
      </c>
      <c r="W3056" s="22">
        <v>8</v>
      </c>
      <c r="X3056" s="23"/>
    </row>
    <row r="3057" spans="1:24" s="1" customFormat="1" ht="21" customHeight="1" x14ac:dyDescent="0.3">
      <c r="A3057" s="24" t="s">
        <v>23</v>
      </c>
      <c r="B3057" s="24" t="s">
        <v>3384</v>
      </c>
      <c r="C3057" s="27" t="s">
        <v>3385</v>
      </c>
      <c r="D3057" s="54"/>
      <c r="E3057" s="39" t="str">
        <f>HYPERLINK("https://www.google.ru/search?q=1386885-505&amp;newwindow=1&amp;tbm=isch","Еще фото")</f>
        <v>Еще фото</v>
      </c>
      <c r="F3057" s="13"/>
      <c r="G3057" s="24" t="s">
        <v>3366</v>
      </c>
      <c r="H3057" s="24" t="s">
        <v>27</v>
      </c>
      <c r="I3057" s="24" t="s">
        <v>3366</v>
      </c>
      <c r="J3057" s="14" t="s">
        <v>29</v>
      </c>
      <c r="K3057" s="15" t="s">
        <v>30</v>
      </c>
      <c r="L3057" s="57"/>
      <c r="M3057" s="14"/>
      <c r="N3057" s="14" t="s">
        <v>67</v>
      </c>
      <c r="O3057" s="14"/>
      <c r="P3057" s="15" t="s">
        <v>113</v>
      </c>
      <c r="Q3057" s="16">
        <v>13099</v>
      </c>
      <c r="R3057" s="17">
        <v>48.79</v>
      </c>
      <c r="S3057" s="18">
        <v>7713.9354999999996</v>
      </c>
      <c r="T3057" s="19" t="s">
        <v>36</v>
      </c>
      <c r="U3057" s="20" t="s">
        <v>43</v>
      </c>
      <c r="V3057" s="21" t="s">
        <v>44</v>
      </c>
      <c r="W3057" s="22">
        <v>3</v>
      </c>
      <c r="X3057" s="23"/>
    </row>
    <row r="3058" spans="1:24" s="1" customFormat="1" ht="32.1" customHeight="1" x14ac:dyDescent="0.3">
      <c r="A3058" s="24" t="s">
        <v>23</v>
      </c>
      <c r="B3058" s="24" t="s">
        <v>3384</v>
      </c>
      <c r="C3058" s="27" t="s">
        <v>3385</v>
      </c>
      <c r="D3058" s="55"/>
      <c r="E3058" s="39" t="str">
        <f>HYPERLINK("https://www.google.ru/search?q=1386885-505&amp;newwindow=1&amp;tbm=isch","Еще фото")</f>
        <v>Еще фото</v>
      </c>
      <c r="F3058" s="13"/>
      <c r="G3058" s="24" t="s">
        <v>3366</v>
      </c>
      <c r="H3058" s="24" t="s">
        <v>27</v>
      </c>
      <c r="I3058" s="24" t="s">
        <v>3366</v>
      </c>
      <c r="J3058" s="14" t="s">
        <v>29</v>
      </c>
      <c r="K3058" s="15" t="s">
        <v>30</v>
      </c>
      <c r="L3058" s="58"/>
      <c r="M3058" s="14"/>
      <c r="N3058" s="14" t="s">
        <v>67</v>
      </c>
      <c r="O3058" s="14"/>
      <c r="P3058" s="15" t="s">
        <v>113</v>
      </c>
      <c r="Q3058" s="16">
        <v>13099</v>
      </c>
      <c r="R3058" s="17">
        <v>48.79</v>
      </c>
      <c r="S3058" s="18">
        <v>7713.9354999999996</v>
      </c>
      <c r="T3058" s="19" t="s">
        <v>36</v>
      </c>
      <c r="U3058" s="20" t="s">
        <v>104</v>
      </c>
      <c r="V3058" s="21" t="s">
        <v>105</v>
      </c>
      <c r="W3058" s="22">
        <v>2</v>
      </c>
      <c r="X3058" s="23"/>
    </row>
    <row r="3059" spans="1:24" s="1" customFormat="1" ht="21" customHeight="1" x14ac:dyDescent="0.3">
      <c r="A3059" s="11" t="s">
        <v>23</v>
      </c>
      <c r="B3059" s="11" t="s">
        <v>3387</v>
      </c>
      <c r="C3059" s="26" t="s">
        <v>3388</v>
      </c>
      <c r="D3059" s="53"/>
      <c r="E3059" s="39" t="str">
        <f>HYPERLINK("https://www.google.ru/search?q=6005086-651&amp;newwindow=1&amp;tbm=isch","Еще фото")</f>
        <v>Еще фото</v>
      </c>
      <c r="F3059" s="13"/>
      <c r="G3059" s="11" t="s">
        <v>3366</v>
      </c>
      <c r="H3059" s="11" t="s">
        <v>27</v>
      </c>
      <c r="I3059" s="14" t="s">
        <v>3366</v>
      </c>
      <c r="J3059" s="14" t="s">
        <v>29</v>
      </c>
      <c r="K3059" s="15" t="s">
        <v>64</v>
      </c>
      <c r="L3059" s="56" t="s">
        <v>3389</v>
      </c>
      <c r="M3059" s="14"/>
      <c r="N3059" s="14" t="s">
        <v>249</v>
      </c>
      <c r="O3059" s="14"/>
      <c r="P3059" s="15" t="s">
        <v>3390</v>
      </c>
      <c r="Q3059" s="16">
        <v>10599</v>
      </c>
      <c r="R3059" s="17">
        <v>48.79</v>
      </c>
      <c r="S3059" s="18">
        <v>6241.9354999999996</v>
      </c>
      <c r="T3059" s="19" t="s">
        <v>36</v>
      </c>
      <c r="U3059" s="20" t="s">
        <v>69</v>
      </c>
      <c r="V3059" s="21" t="s">
        <v>70</v>
      </c>
      <c r="W3059" s="22">
        <v>13</v>
      </c>
      <c r="X3059" s="23"/>
    </row>
    <row r="3060" spans="1:24" s="1" customFormat="1" ht="21" customHeight="1" x14ac:dyDescent="0.3">
      <c r="A3060" s="24" t="s">
        <v>23</v>
      </c>
      <c r="B3060" s="24" t="s">
        <v>3387</v>
      </c>
      <c r="C3060" s="27" t="s">
        <v>3388</v>
      </c>
      <c r="D3060" s="54"/>
      <c r="E3060" s="39" t="str">
        <f>HYPERLINK("https://www.google.ru/search?q=6005086-651&amp;newwindow=1&amp;tbm=isch","Еще фото")</f>
        <v>Еще фото</v>
      </c>
      <c r="F3060" s="13"/>
      <c r="G3060" s="24" t="s">
        <v>3366</v>
      </c>
      <c r="H3060" s="24" t="s">
        <v>27</v>
      </c>
      <c r="I3060" s="24" t="s">
        <v>3366</v>
      </c>
      <c r="J3060" s="14" t="s">
        <v>29</v>
      </c>
      <c r="K3060" s="15" t="s">
        <v>64</v>
      </c>
      <c r="L3060" s="57"/>
      <c r="M3060" s="14"/>
      <c r="N3060" s="14" t="s">
        <v>249</v>
      </c>
      <c r="O3060" s="14"/>
      <c r="P3060" s="15" t="s">
        <v>3390</v>
      </c>
      <c r="Q3060" s="16">
        <v>10599</v>
      </c>
      <c r="R3060" s="17">
        <v>48.79</v>
      </c>
      <c r="S3060" s="18">
        <v>6241.9354999999996</v>
      </c>
      <c r="T3060" s="19" t="s">
        <v>36</v>
      </c>
      <c r="U3060" s="20" t="s">
        <v>37</v>
      </c>
      <c r="V3060" s="21" t="s">
        <v>86</v>
      </c>
      <c r="W3060" s="22">
        <v>10</v>
      </c>
      <c r="X3060" s="23"/>
    </row>
    <row r="3061" spans="1:24" s="1" customFormat="1" ht="21" customHeight="1" x14ac:dyDescent="0.3">
      <c r="A3061" s="24" t="s">
        <v>23</v>
      </c>
      <c r="B3061" s="24" t="s">
        <v>3387</v>
      </c>
      <c r="C3061" s="27" t="s">
        <v>3388</v>
      </c>
      <c r="D3061" s="54"/>
      <c r="E3061" s="39" t="str">
        <f>HYPERLINK("https://www.google.ru/search?q=6005086-651&amp;newwindow=1&amp;tbm=isch","Еще фото")</f>
        <v>Еще фото</v>
      </c>
      <c r="F3061" s="13"/>
      <c r="G3061" s="24" t="s">
        <v>3366</v>
      </c>
      <c r="H3061" s="24" t="s">
        <v>27</v>
      </c>
      <c r="I3061" s="24" t="s">
        <v>3366</v>
      </c>
      <c r="J3061" s="14" t="s">
        <v>29</v>
      </c>
      <c r="K3061" s="15" t="s">
        <v>64</v>
      </c>
      <c r="L3061" s="57"/>
      <c r="M3061" s="14"/>
      <c r="N3061" s="14" t="s">
        <v>249</v>
      </c>
      <c r="O3061" s="14"/>
      <c r="P3061" s="15" t="s">
        <v>3390</v>
      </c>
      <c r="Q3061" s="16">
        <v>10599</v>
      </c>
      <c r="R3061" s="17">
        <v>48.79</v>
      </c>
      <c r="S3061" s="18">
        <v>6241.9354999999996</v>
      </c>
      <c r="T3061" s="19" t="s">
        <v>36</v>
      </c>
      <c r="U3061" s="20" t="s">
        <v>39</v>
      </c>
      <c r="V3061" s="21" t="s">
        <v>38</v>
      </c>
      <c r="W3061" s="22">
        <v>18</v>
      </c>
      <c r="X3061" s="23"/>
    </row>
    <row r="3062" spans="1:24" s="1" customFormat="1" ht="21" customHeight="1" x14ac:dyDescent="0.3">
      <c r="A3062" s="24" t="s">
        <v>23</v>
      </c>
      <c r="B3062" s="24" t="s">
        <v>3387</v>
      </c>
      <c r="C3062" s="27" t="s">
        <v>3388</v>
      </c>
      <c r="D3062" s="54"/>
      <c r="E3062" s="39" t="str">
        <f>HYPERLINK("https://www.google.ru/search?q=6005086-651&amp;newwindow=1&amp;tbm=isch","Еще фото")</f>
        <v>Еще фото</v>
      </c>
      <c r="F3062" s="13"/>
      <c r="G3062" s="24" t="s">
        <v>3366</v>
      </c>
      <c r="H3062" s="24" t="s">
        <v>27</v>
      </c>
      <c r="I3062" s="24" t="s">
        <v>3366</v>
      </c>
      <c r="J3062" s="14" t="s">
        <v>29</v>
      </c>
      <c r="K3062" s="15" t="s">
        <v>64</v>
      </c>
      <c r="L3062" s="57"/>
      <c r="M3062" s="14"/>
      <c r="N3062" s="14" t="s">
        <v>249</v>
      </c>
      <c r="O3062" s="14"/>
      <c r="P3062" s="15" t="s">
        <v>3390</v>
      </c>
      <c r="Q3062" s="16">
        <v>10599</v>
      </c>
      <c r="R3062" s="17">
        <v>48.79</v>
      </c>
      <c r="S3062" s="18">
        <v>6241.9354999999996</v>
      </c>
      <c r="T3062" s="19" t="s">
        <v>36</v>
      </c>
      <c r="U3062" s="20" t="s">
        <v>41</v>
      </c>
      <c r="V3062" s="21" t="s">
        <v>40</v>
      </c>
      <c r="W3062" s="22">
        <v>7</v>
      </c>
      <c r="X3062" s="23"/>
    </row>
    <row r="3063" spans="1:24" s="1" customFormat="1" ht="32.1" customHeight="1" x14ac:dyDescent="0.3">
      <c r="A3063" s="24" t="s">
        <v>23</v>
      </c>
      <c r="B3063" s="24" t="s">
        <v>3387</v>
      </c>
      <c r="C3063" s="27" t="s">
        <v>3388</v>
      </c>
      <c r="D3063" s="55"/>
      <c r="E3063" s="39" t="str">
        <f>HYPERLINK("https://www.google.ru/search?q=6005086-651&amp;newwindow=1&amp;tbm=isch","Еще фото")</f>
        <v>Еще фото</v>
      </c>
      <c r="F3063" s="13"/>
      <c r="G3063" s="24" t="s">
        <v>3366</v>
      </c>
      <c r="H3063" s="24" t="s">
        <v>27</v>
      </c>
      <c r="I3063" s="24" t="s">
        <v>3366</v>
      </c>
      <c r="J3063" s="14" t="s">
        <v>29</v>
      </c>
      <c r="K3063" s="15" t="s">
        <v>64</v>
      </c>
      <c r="L3063" s="58"/>
      <c r="M3063" s="14"/>
      <c r="N3063" s="14" t="s">
        <v>249</v>
      </c>
      <c r="O3063" s="14"/>
      <c r="P3063" s="15" t="s">
        <v>3390</v>
      </c>
      <c r="Q3063" s="16">
        <v>10599</v>
      </c>
      <c r="R3063" s="17">
        <v>48.79</v>
      </c>
      <c r="S3063" s="18">
        <v>6241.9354999999996</v>
      </c>
      <c r="T3063" s="19" t="s">
        <v>36</v>
      </c>
      <c r="U3063" s="20" t="s">
        <v>43</v>
      </c>
      <c r="V3063" s="21" t="s">
        <v>42</v>
      </c>
      <c r="W3063" s="22">
        <v>5</v>
      </c>
      <c r="X3063" s="23"/>
    </row>
    <row r="3064" spans="1:24" s="1" customFormat="1" ht="108" customHeight="1" x14ac:dyDescent="0.3">
      <c r="A3064" s="11" t="s">
        <v>23</v>
      </c>
      <c r="B3064" s="11" t="s">
        <v>3391</v>
      </c>
      <c r="C3064" s="12" t="s">
        <v>3392</v>
      </c>
      <c r="D3064" s="25"/>
      <c r="E3064" s="39" t="str">
        <f>HYPERLINK("https://www.google.ru/search?q=1290875-540&amp;newwindow=1&amp;tbm=isch","Еще фото")</f>
        <v>Еще фото</v>
      </c>
      <c r="F3064" s="13"/>
      <c r="G3064" s="11" t="s">
        <v>3366</v>
      </c>
      <c r="H3064" s="11" t="s">
        <v>27</v>
      </c>
      <c r="I3064" s="14" t="s">
        <v>3366</v>
      </c>
      <c r="J3064" s="14" t="s">
        <v>29</v>
      </c>
      <c r="K3064" s="15" t="s">
        <v>64</v>
      </c>
      <c r="L3064" s="14" t="s">
        <v>3393</v>
      </c>
      <c r="M3064" s="14" t="s">
        <v>256</v>
      </c>
      <c r="N3064" s="14" t="s">
        <v>91</v>
      </c>
      <c r="O3064" s="14" t="s">
        <v>34</v>
      </c>
      <c r="P3064" s="15" t="s">
        <v>3394</v>
      </c>
      <c r="Q3064" s="16">
        <v>2899</v>
      </c>
      <c r="R3064" s="17">
        <v>48.26</v>
      </c>
      <c r="S3064" s="18">
        <v>1724.9884999999999</v>
      </c>
      <c r="T3064" s="19" t="s">
        <v>36</v>
      </c>
      <c r="U3064" s="20" t="s">
        <v>43</v>
      </c>
      <c r="V3064" s="21" t="s">
        <v>42</v>
      </c>
      <c r="W3064" s="22">
        <v>1</v>
      </c>
      <c r="X3064" s="23"/>
    </row>
    <row r="3065" spans="1:24" s="1" customFormat="1" ht="108" customHeight="1" x14ac:dyDescent="0.3">
      <c r="A3065" s="11" t="s">
        <v>23</v>
      </c>
      <c r="B3065" s="11" t="s">
        <v>3395</v>
      </c>
      <c r="C3065" s="12" t="s">
        <v>3396</v>
      </c>
      <c r="D3065" s="25"/>
      <c r="E3065" s="39" t="str">
        <f>HYPERLINK("https://www.google.ru/search?q=1383154-001&amp;newwindow=1&amp;tbm=isch","Еще фото")</f>
        <v>Еще фото</v>
      </c>
      <c r="F3065" s="13"/>
      <c r="G3065" s="11" t="s">
        <v>3366</v>
      </c>
      <c r="H3065" s="11" t="s">
        <v>27</v>
      </c>
      <c r="I3065" s="14" t="s">
        <v>3366</v>
      </c>
      <c r="J3065" s="14" t="s">
        <v>212</v>
      </c>
      <c r="K3065" s="15" t="s">
        <v>30</v>
      </c>
      <c r="L3065" s="14" t="s">
        <v>3397</v>
      </c>
      <c r="M3065" s="14"/>
      <c r="N3065" s="14" t="s">
        <v>33</v>
      </c>
      <c r="O3065" s="14"/>
      <c r="P3065" s="15" t="s">
        <v>3398</v>
      </c>
      <c r="Q3065" s="16">
        <v>5999</v>
      </c>
      <c r="R3065" s="17">
        <v>46.66</v>
      </c>
      <c r="S3065" s="18">
        <v>3679.9884999999995</v>
      </c>
      <c r="T3065" s="19" t="s">
        <v>36</v>
      </c>
      <c r="U3065" s="20" t="s">
        <v>3399</v>
      </c>
      <c r="V3065" s="22">
        <v>58</v>
      </c>
      <c r="W3065" s="22">
        <v>1</v>
      </c>
      <c r="X3065" s="23"/>
    </row>
    <row r="3066" spans="1:24" s="1" customFormat="1" ht="108" customHeight="1" x14ac:dyDescent="0.3">
      <c r="A3066" s="11" t="s">
        <v>23</v>
      </c>
      <c r="B3066" s="11" t="s">
        <v>3395</v>
      </c>
      <c r="C3066" s="12" t="s">
        <v>3400</v>
      </c>
      <c r="D3066" s="25"/>
      <c r="E3066" s="39" t="str">
        <f>HYPERLINK("https://www.google.ru/search?q=1383154-410&amp;newwindow=1&amp;tbm=isch","Еще фото")</f>
        <v>Еще фото</v>
      </c>
      <c r="F3066" s="13"/>
      <c r="G3066" s="11" t="s">
        <v>3366</v>
      </c>
      <c r="H3066" s="11" t="s">
        <v>27</v>
      </c>
      <c r="I3066" s="14" t="s">
        <v>3366</v>
      </c>
      <c r="J3066" s="14" t="s">
        <v>212</v>
      </c>
      <c r="K3066" s="15" t="s">
        <v>30</v>
      </c>
      <c r="L3066" s="14" t="s">
        <v>3397</v>
      </c>
      <c r="M3066" s="14"/>
      <c r="N3066" s="14" t="s">
        <v>91</v>
      </c>
      <c r="O3066" s="14"/>
      <c r="P3066" s="15" t="s">
        <v>3398</v>
      </c>
      <c r="Q3066" s="16">
        <v>5999</v>
      </c>
      <c r="R3066" s="17">
        <v>46.66</v>
      </c>
      <c r="S3066" s="18">
        <v>3679.9884999999995</v>
      </c>
      <c r="T3066" s="19" t="s">
        <v>36</v>
      </c>
      <c r="U3066" s="20" t="s">
        <v>3399</v>
      </c>
      <c r="V3066" s="22">
        <v>58</v>
      </c>
      <c r="W3066" s="22">
        <v>1</v>
      </c>
      <c r="X3066" s="23"/>
    </row>
    <row r="3067" spans="1:24" s="1" customFormat="1" ht="35.1" customHeight="1" x14ac:dyDescent="0.3">
      <c r="A3067" s="11" t="s">
        <v>23</v>
      </c>
      <c r="B3067" s="11" t="s">
        <v>3375</v>
      </c>
      <c r="C3067" s="12" t="s">
        <v>3401</v>
      </c>
      <c r="D3067" s="53"/>
      <c r="E3067" s="39" t="str">
        <f>HYPERLINK("https://www.google.ru/search?q=1379785-001&amp;newwindow=1&amp;tbm=isch","Еще фото")</f>
        <v>Еще фото</v>
      </c>
      <c r="F3067" s="13"/>
      <c r="G3067" s="11" t="s">
        <v>3366</v>
      </c>
      <c r="H3067" s="11" t="s">
        <v>27</v>
      </c>
      <c r="I3067" s="14" t="s">
        <v>3366</v>
      </c>
      <c r="J3067" s="14" t="s">
        <v>47</v>
      </c>
      <c r="K3067" s="15" t="s">
        <v>54</v>
      </c>
      <c r="L3067" s="56" t="s">
        <v>3377</v>
      </c>
      <c r="M3067" s="14"/>
      <c r="N3067" s="14" t="s">
        <v>33</v>
      </c>
      <c r="O3067" s="14"/>
      <c r="P3067" s="15" t="s">
        <v>58</v>
      </c>
      <c r="Q3067" s="16">
        <v>4199</v>
      </c>
      <c r="R3067" s="17">
        <v>46</v>
      </c>
      <c r="S3067" s="18">
        <v>2607.5789999999997</v>
      </c>
      <c r="T3067" s="19" t="s">
        <v>36</v>
      </c>
      <c r="U3067" s="20" t="s">
        <v>114</v>
      </c>
      <c r="V3067" s="21" t="s">
        <v>115</v>
      </c>
      <c r="W3067" s="22">
        <v>6</v>
      </c>
      <c r="X3067" s="23"/>
    </row>
    <row r="3068" spans="1:24" s="1" customFormat="1" ht="35.1" customHeight="1" x14ac:dyDescent="0.3">
      <c r="A3068" s="24" t="s">
        <v>23</v>
      </c>
      <c r="B3068" s="24" t="s">
        <v>3375</v>
      </c>
      <c r="C3068" s="12" t="s">
        <v>3401</v>
      </c>
      <c r="D3068" s="54"/>
      <c r="E3068" s="39" t="str">
        <f>HYPERLINK("https://www.google.ru/search?q=1379785-001&amp;newwindow=1&amp;tbm=isch","Еще фото")</f>
        <v>Еще фото</v>
      </c>
      <c r="F3068" s="13"/>
      <c r="G3068" s="24" t="s">
        <v>3366</v>
      </c>
      <c r="H3068" s="24" t="s">
        <v>27</v>
      </c>
      <c r="I3068" s="24" t="s">
        <v>3366</v>
      </c>
      <c r="J3068" s="14" t="s">
        <v>47</v>
      </c>
      <c r="K3068" s="15" t="s">
        <v>54</v>
      </c>
      <c r="L3068" s="57"/>
      <c r="M3068" s="14"/>
      <c r="N3068" s="14" t="s">
        <v>33</v>
      </c>
      <c r="O3068" s="14"/>
      <c r="P3068" s="15" t="s">
        <v>58</v>
      </c>
      <c r="Q3068" s="16">
        <v>4199</v>
      </c>
      <c r="R3068" s="17">
        <v>46</v>
      </c>
      <c r="S3068" s="18">
        <v>2607.5789999999997</v>
      </c>
      <c r="T3068" s="19" t="s">
        <v>36</v>
      </c>
      <c r="U3068" s="20" t="s">
        <v>126</v>
      </c>
      <c r="V3068" s="21" t="s">
        <v>127</v>
      </c>
      <c r="W3068" s="22">
        <v>4</v>
      </c>
      <c r="X3068" s="23"/>
    </row>
    <row r="3069" spans="1:24" s="1" customFormat="1" ht="36.950000000000003" customHeight="1" x14ac:dyDescent="0.3">
      <c r="A3069" s="24" t="s">
        <v>23</v>
      </c>
      <c r="B3069" s="24" t="s">
        <v>3375</v>
      </c>
      <c r="C3069" s="12" t="s">
        <v>3401</v>
      </c>
      <c r="D3069" s="55"/>
      <c r="E3069" s="39" t="str">
        <f>HYPERLINK("https://www.google.ru/search?q=1379785-001&amp;newwindow=1&amp;tbm=isch","Еще фото")</f>
        <v>Еще фото</v>
      </c>
      <c r="F3069" s="13"/>
      <c r="G3069" s="24" t="s">
        <v>3366</v>
      </c>
      <c r="H3069" s="24" t="s">
        <v>27</v>
      </c>
      <c r="I3069" s="24" t="s">
        <v>3366</v>
      </c>
      <c r="J3069" s="14" t="s">
        <v>47</v>
      </c>
      <c r="K3069" s="15" t="s">
        <v>54</v>
      </c>
      <c r="L3069" s="58"/>
      <c r="M3069" s="14"/>
      <c r="N3069" s="14" t="s">
        <v>33</v>
      </c>
      <c r="O3069" s="14"/>
      <c r="P3069" s="15" t="s">
        <v>58</v>
      </c>
      <c r="Q3069" s="16">
        <v>4199</v>
      </c>
      <c r="R3069" s="17">
        <v>46</v>
      </c>
      <c r="S3069" s="18">
        <v>2607.5789999999997</v>
      </c>
      <c r="T3069" s="19" t="s">
        <v>36</v>
      </c>
      <c r="U3069" s="20" t="s">
        <v>128</v>
      </c>
      <c r="V3069" s="21" t="s">
        <v>129</v>
      </c>
      <c r="W3069" s="22">
        <v>2</v>
      </c>
      <c r="X3069" s="23"/>
    </row>
    <row r="3070" spans="1:24" s="1" customFormat="1" ht="21" customHeight="1" x14ac:dyDescent="0.3">
      <c r="A3070" s="11" t="s">
        <v>23</v>
      </c>
      <c r="B3070" s="11" t="s">
        <v>3372</v>
      </c>
      <c r="C3070" s="26" t="s">
        <v>3402</v>
      </c>
      <c r="D3070" s="53"/>
      <c r="E3070" s="39" t="str">
        <f>HYPERLINK("https://www.google.ru/search?q=1390075-600&amp;newwindow=1&amp;tbm=isch","Еще фото")</f>
        <v>Еще фото</v>
      </c>
      <c r="F3070" s="13"/>
      <c r="G3070" s="11" t="s">
        <v>3366</v>
      </c>
      <c r="H3070" s="11" t="s">
        <v>27</v>
      </c>
      <c r="I3070" s="14" t="s">
        <v>3366</v>
      </c>
      <c r="J3070" s="14" t="s">
        <v>29</v>
      </c>
      <c r="K3070" s="15" t="s">
        <v>54</v>
      </c>
      <c r="L3070" s="56" t="s">
        <v>3374</v>
      </c>
      <c r="M3070" s="14"/>
      <c r="N3070" s="14" t="s">
        <v>57</v>
      </c>
      <c r="O3070" s="14"/>
      <c r="P3070" s="15" t="s">
        <v>133</v>
      </c>
      <c r="Q3070" s="16">
        <v>2899</v>
      </c>
      <c r="R3070" s="17">
        <v>46</v>
      </c>
      <c r="S3070" s="18">
        <v>1800.279</v>
      </c>
      <c r="T3070" s="19" t="s">
        <v>36</v>
      </c>
      <c r="U3070" s="20" t="s">
        <v>114</v>
      </c>
      <c r="V3070" s="21" t="s">
        <v>115</v>
      </c>
      <c r="W3070" s="22">
        <v>3</v>
      </c>
      <c r="X3070" s="23"/>
    </row>
    <row r="3071" spans="1:24" s="1" customFormat="1" ht="21" customHeight="1" x14ac:dyDescent="0.3">
      <c r="A3071" s="24" t="s">
        <v>23</v>
      </c>
      <c r="B3071" s="24" t="s">
        <v>3372</v>
      </c>
      <c r="C3071" s="27" t="s">
        <v>3402</v>
      </c>
      <c r="D3071" s="54"/>
      <c r="E3071" s="39" t="str">
        <f>HYPERLINK("https://www.google.ru/search?q=1390075-600&amp;newwindow=1&amp;tbm=isch","Еще фото")</f>
        <v>Еще фото</v>
      </c>
      <c r="F3071" s="13"/>
      <c r="G3071" s="24" t="s">
        <v>3366</v>
      </c>
      <c r="H3071" s="24" t="s">
        <v>27</v>
      </c>
      <c r="I3071" s="24" t="s">
        <v>3366</v>
      </c>
      <c r="J3071" s="14" t="s">
        <v>29</v>
      </c>
      <c r="K3071" s="15" t="s">
        <v>54</v>
      </c>
      <c r="L3071" s="57"/>
      <c r="M3071" s="14"/>
      <c r="N3071" s="14" t="s">
        <v>57</v>
      </c>
      <c r="O3071" s="14"/>
      <c r="P3071" s="15" t="s">
        <v>133</v>
      </c>
      <c r="Q3071" s="16">
        <v>2899</v>
      </c>
      <c r="R3071" s="17">
        <v>46</v>
      </c>
      <c r="S3071" s="18">
        <v>1800.279</v>
      </c>
      <c r="T3071" s="19" t="s">
        <v>36</v>
      </c>
      <c r="U3071" s="20" t="s">
        <v>126</v>
      </c>
      <c r="V3071" s="21" t="s">
        <v>127</v>
      </c>
      <c r="W3071" s="22">
        <v>1</v>
      </c>
      <c r="X3071" s="23"/>
    </row>
    <row r="3072" spans="1:24" s="1" customFormat="1" ht="21" customHeight="1" x14ac:dyDescent="0.3">
      <c r="A3072" s="24" t="s">
        <v>23</v>
      </c>
      <c r="B3072" s="24" t="s">
        <v>3372</v>
      </c>
      <c r="C3072" s="27" t="s">
        <v>3402</v>
      </c>
      <c r="D3072" s="54"/>
      <c r="E3072" s="39" t="str">
        <f>HYPERLINK("https://www.google.ru/search?q=1390075-600&amp;newwindow=1&amp;tbm=isch","Еще фото")</f>
        <v>Еще фото</v>
      </c>
      <c r="F3072" s="13"/>
      <c r="G3072" s="24" t="s">
        <v>3366</v>
      </c>
      <c r="H3072" s="24" t="s">
        <v>27</v>
      </c>
      <c r="I3072" s="24" t="s">
        <v>3366</v>
      </c>
      <c r="J3072" s="14" t="s">
        <v>29</v>
      </c>
      <c r="K3072" s="15" t="s">
        <v>54</v>
      </c>
      <c r="L3072" s="57"/>
      <c r="M3072" s="14"/>
      <c r="N3072" s="14" t="s">
        <v>57</v>
      </c>
      <c r="O3072" s="14"/>
      <c r="P3072" s="15" t="s">
        <v>133</v>
      </c>
      <c r="Q3072" s="16">
        <v>2899</v>
      </c>
      <c r="R3072" s="17">
        <v>46</v>
      </c>
      <c r="S3072" s="18">
        <v>1800.279</v>
      </c>
      <c r="T3072" s="19" t="s">
        <v>36</v>
      </c>
      <c r="U3072" s="20" t="s">
        <v>128</v>
      </c>
      <c r="V3072" s="21" t="s">
        <v>129</v>
      </c>
      <c r="W3072" s="22">
        <v>1</v>
      </c>
      <c r="X3072" s="23"/>
    </row>
    <row r="3073" spans="1:24" s="1" customFormat="1" ht="21" customHeight="1" x14ac:dyDescent="0.3">
      <c r="A3073" s="24" t="s">
        <v>23</v>
      </c>
      <c r="B3073" s="24" t="s">
        <v>3372</v>
      </c>
      <c r="C3073" s="27" t="s">
        <v>3402</v>
      </c>
      <c r="D3073" s="54"/>
      <c r="E3073" s="39" t="str">
        <f>HYPERLINK("https://www.google.ru/search?q=1390075-600&amp;newwindow=1&amp;tbm=isch","Еще фото")</f>
        <v>Еще фото</v>
      </c>
      <c r="F3073" s="13"/>
      <c r="G3073" s="24" t="s">
        <v>3366</v>
      </c>
      <c r="H3073" s="24" t="s">
        <v>27</v>
      </c>
      <c r="I3073" s="24" t="s">
        <v>3366</v>
      </c>
      <c r="J3073" s="14" t="s">
        <v>29</v>
      </c>
      <c r="K3073" s="15" t="s">
        <v>54</v>
      </c>
      <c r="L3073" s="57"/>
      <c r="M3073" s="14"/>
      <c r="N3073" s="14" t="s">
        <v>57</v>
      </c>
      <c r="O3073" s="14"/>
      <c r="P3073" s="15" t="s">
        <v>133</v>
      </c>
      <c r="Q3073" s="16">
        <v>2899</v>
      </c>
      <c r="R3073" s="17">
        <v>46</v>
      </c>
      <c r="S3073" s="18">
        <v>1800.279</v>
      </c>
      <c r="T3073" s="19" t="s">
        <v>36</v>
      </c>
      <c r="U3073" s="20" t="s">
        <v>59</v>
      </c>
      <c r="V3073" s="21" t="s">
        <v>60</v>
      </c>
      <c r="W3073" s="22">
        <v>6</v>
      </c>
      <c r="X3073" s="23"/>
    </row>
    <row r="3074" spans="1:24" s="1" customFormat="1" ht="32.1" customHeight="1" x14ac:dyDescent="0.3">
      <c r="A3074" s="24" t="s">
        <v>23</v>
      </c>
      <c r="B3074" s="24" t="s">
        <v>3372</v>
      </c>
      <c r="C3074" s="27" t="s">
        <v>3402</v>
      </c>
      <c r="D3074" s="55"/>
      <c r="E3074" s="39" t="str">
        <f>HYPERLINK("https://www.google.ru/search?q=1390075-600&amp;newwindow=1&amp;tbm=isch","Еще фото")</f>
        <v>Еще фото</v>
      </c>
      <c r="F3074" s="13"/>
      <c r="G3074" s="24" t="s">
        <v>3366</v>
      </c>
      <c r="H3074" s="24" t="s">
        <v>27</v>
      </c>
      <c r="I3074" s="24" t="s">
        <v>3366</v>
      </c>
      <c r="J3074" s="14" t="s">
        <v>29</v>
      </c>
      <c r="K3074" s="15" t="s">
        <v>54</v>
      </c>
      <c r="L3074" s="58"/>
      <c r="M3074" s="14"/>
      <c r="N3074" s="14" t="s">
        <v>57</v>
      </c>
      <c r="O3074" s="14"/>
      <c r="P3074" s="15" t="s">
        <v>133</v>
      </c>
      <c r="Q3074" s="16">
        <v>2899</v>
      </c>
      <c r="R3074" s="17">
        <v>46</v>
      </c>
      <c r="S3074" s="18">
        <v>1800.279</v>
      </c>
      <c r="T3074" s="19" t="s">
        <v>36</v>
      </c>
      <c r="U3074" s="20" t="s">
        <v>130</v>
      </c>
      <c r="V3074" s="21" t="s">
        <v>131</v>
      </c>
      <c r="W3074" s="22">
        <v>1</v>
      </c>
      <c r="X3074" s="23"/>
    </row>
    <row r="3075" spans="1:24" s="1" customFormat="1" ht="26.1" customHeight="1" x14ac:dyDescent="0.3">
      <c r="A3075" s="11" t="s">
        <v>23</v>
      </c>
      <c r="B3075" s="11" t="s">
        <v>3403</v>
      </c>
      <c r="C3075" s="12" t="s">
        <v>3404</v>
      </c>
      <c r="D3075" s="53"/>
      <c r="E3075" s="39" t="str">
        <f>HYPERLINK("https://www.google.ru/search?q=6009974-001&amp;newwindow=1&amp;tbm=isch","Еще фото")</f>
        <v>Еще фото</v>
      </c>
      <c r="F3075" s="13"/>
      <c r="G3075" s="11" t="s">
        <v>3366</v>
      </c>
      <c r="H3075" s="11" t="s">
        <v>27</v>
      </c>
      <c r="I3075" s="14" t="s">
        <v>3366</v>
      </c>
      <c r="J3075" s="14" t="s">
        <v>29</v>
      </c>
      <c r="K3075" s="15" t="s">
        <v>54</v>
      </c>
      <c r="L3075" s="56" t="s">
        <v>3405</v>
      </c>
      <c r="M3075" s="14"/>
      <c r="N3075" s="14" t="s">
        <v>33</v>
      </c>
      <c r="O3075" s="14"/>
      <c r="P3075" s="15" t="s">
        <v>203</v>
      </c>
      <c r="Q3075" s="16">
        <v>3399</v>
      </c>
      <c r="R3075" s="17">
        <v>46</v>
      </c>
      <c r="S3075" s="18">
        <v>2110.779</v>
      </c>
      <c r="T3075" s="19" t="s">
        <v>36</v>
      </c>
      <c r="U3075" s="20" t="s">
        <v>114</v>
      </c>
      <c r="V3075" s="21" t="s">
        <v>115</v>
      </c>
      <c r="W3075" s="22">
        <v>4</v>
      </c>
      <c r="X3075" s="23"/>
    </row>
    <row r="3076" spans="1:24" s="1" customFormat="1" ht="26.1" customHeight="1" x14ac:dyDescent="0.3">
      <c r="A3076" s="24" t="s">
        <v>23</v>
      </c>
      <c r="B3076" s="24" t="s">
        <v>3403</v>
      </c>
      <c r="C3076" s="12" t="s">
        <v>3404</v>
      </c>
      <c r="D3076" s="54"/>
      <c r="E3076" s="39" t="str">
        <f>HYPERLINK("https://www.google.ru/search?q=6009974-001&amp;newwindow=1&amp;tbm=isch","Еще фото")</f>
        <v>Еще фото</v>
      </c>
      <c r="F3076" s="13"/>
      <c r="G3076" s="24" t="s">
        <v>3366</v>
      </c>
      <c r="H3076" s="24" t="s">
        <v>27</v>
      </c>
      <c r="I3076" s="24" t="s">
        <v>3366</v>
      </c>
      <c r="J3076" s="14" t="s">
        <v>29</v>
      </c>
      <c r="K3076" s="15" t="s">
        <v>54</v>
      </c>
      <c r="L3076" s="57"/>
      <c r="M3076" s="14"/>
      <c r="N3076" s="14" t="s">
        <v>33</v>
      </c>
      <c r="O3076" s="14"/>
      <c r="P3076" s="15" t="s">
        <v>203</v>
      </c>
      <c r="Q3076" s="16">
        <v>3399</v>
      </c>
      <c r="R3076" s="17">
        <v>46</v>
      </c>
      <c r="S3076" s="18">
        <v>2110.779</v>
      </c>
      <c r="T3076" s="19" t="s">
        <v>36</v>
      </c>
      <c r="U3076" s="20" t="s">
        <v>126</v>
      </c>
      <c r="V3076" s="21" t="s">
        <v>127</v>
      </c>
      <c r="W3076" s="22">
        <v>1</v>
      </c>
      <c r="X3076" s="23"/>
    </row>
    <row r="3077" spans="1:24" s="1" customFormat="1" ht="26.1" customHeight="1" x14ac:dyDescent="0.3">
      <c r="A3077" s="24" t="s">
        <v>23</v>
      </c>
      <c r="B3077" s="24" t="s">
        <v>3403</v>
      </c>
      <c r="C3077" s="12" t="s">
        <v>3404</v>
      </c>
      <c r="D3077" s="54"/>
      <c r="E3077" s="39" t="str">
        <f>HYPERLINK("https://www.google.ru/search?q=6009974-001&amp;newwindow=1&amp;tbm=isch","Еще фото")</f>
        <v>Еще фото</v>
      </c>
      <c r="F3077" s="13"/>
      <c r="G3077" s="24" t="s">
        <v>3366</v>
      </c>
      <c r="H3077" s="24" t="s">
        <v>27</v>
      </c>
      <c r="I3077" s="24" t="s">
        <v>3366</v>
      </c>
      <c r="J3077" s="14" t="s">
        <v>29</v>
      </c>
      <c r="K3077" s="15" t="s">
        <v>54</v>
      </c>
      <c r="L3077" s="57"/>
      <c r="M3077" s="14"/>
      <c r="N3077" s="14" t="s">
        <v>33</v>
      </c>
      <c r="O3077" s="14"/>
      <c r="P3077" s="15" t="s">
        <v>203</v>
      </c>
      <c r="Q3077" s="16">
        <v>3399</v>
      </c>
      <c r="R3077" s="17">
        <v>46</v>
      </c>
      <c r="S3077" s="18">
        <v>2110.779</v>
      </c>
      <c r="T3077" s="19" t="s">
        <v>36</v>
      </c>
      <c r="U3077" s="20" t="s">
        <v>128</v>
      </c>
      <c r="V3077" s="21" t="s">
        <v>129</v>
      </c>
      <c r="W3077" s="22">
        <v>1</v>
      </c>
      <c r="X3077" s="23"/>
    </row>
    <row r="3078" spans="1:24" s="1" customFormat="1" ht="26.1" customHeight="1" x14ac:dyDescent="0.3">
      <c r="A3078" s="24" t="s">
        <v>23</v>
      </c>
      <c r="B3078" s="24" t="s">
        <v>3403</v>
      </c>
      <c r="C3078" s="12" t="s">
        <v>3404</v>
      </c>
      <c r="D3078" s="55"/>
      <c r="E3078" s="39" t="str">
        <f>HYPERLINK("https://www.google.ru/search?q=6009974-001&amp;newwindow=1&amp;tbm=isch","Еще фото")</f>
        <v>Еще фото</v>
      </c>
      <c r="F3078" s="13"/>
      <c r="G3078" s="24" t="s">
        <v>3366</v>
      </c>
      <c r="H3078" s="24" t="s">
        <v>27</v>
      </c>
      <c r="I3078" s="24" t="s">
        <v>3366</v>
      </c>
      <c r="J3078" s="14" t="s">
        <v>29</v>
      </c>
      <c r="K3078" s="15" t="s">
        <v>54</v>
      </c>
      <c r="L3078" s="58"/>
      <c r="M3078" s="14"/>
      <c r="N3078" s="14" t="s">
        <v>33</v>
      </c>
      <c r="O3078" s="14"/>
      <c r="P3078" s="15" t="s">
        <v>203</v>
      </c>
      <c r="Q3078" s="16">
        <v>3399</v>
      </c>
      <c r="R3078" s="17">
        <v>46</v>
      </c>
      <c r="S3078" s="18">
        <v>2110.779</v>
      </c>
      <c r="T3078" s="19" t="s">
        <v>36</v>
      </c>
      <c r="U3078" s="20" t="s">
        <v>59</v>
      </c>
      <c r="V3078" s="21" t="s">
        <v>60</v>
      </c>
      <c r="W3078" s="22">
        <v>7</v>
      </c>
      <c r="X3078" s="23"/>
    </row>
    <row r="3079" spans="1:24" s="1" customFormat="1" ht="21" customHeight="1" x14ac:dyDescent="0.3">
      <c r="A3079" s="11" t="s">
        <v>23</v>
      </c>
      <c r="B3079" s="11" t="s">
        <v>3403</v>
      </c>
      <c r="C3079" s="26" t="s">
        <v>3406</v>
      </c>
      <c r="D3079" s="53"/>
      <c r="E3079" s="39" t="str">
        <f>HYPERLINK("https://www.google.ru/search?q=6009974-600&amp;newwindow=1&amp;tbm=isch","Еще фото")</f>
        <v>Еще фото</v>
      </c>
      <c r="F3079" s="13"/>
      <c r="G3079" s="11" t="s">
        <v>3366</v>
      </c>
      <c r="H3079" s="11" t="s">
        <v>27</v>
      </c>
      <c r="I3079" s="14" t="s">
        <v>3366</v>
      </c>
      <c r="J3079" s="14" t="s">
        <v>29</v>
      </c>
      <c r="K3079" s="15" t="s">
        <v>54</v>
      </c>
      <c r="L3079" s="56" t="s">
        <v>3405</v>
      </c>
      <c r="M3079" s="14"/>
      <c r="N3079" s="14" t="s">
        <v>57</v>
      </c>
      <c r="O3079" s="14"/>
      <c r="P3079" s="15" t="s">
        <v>203</v>
      </c>
      <c r="Q3079" s="16">
        <v>3399</v>
      </c>
      <c r="R3079" s="17">
        <v>46</v>
      </c>
      <c r="S3079" s="18">
        <v>2110.779</v>
      </c>
      <c r="T3079" s="19" t="s">
        <v>36</v>
      </c>
      <c r="U3079" s="20" t="s">
        <v>114</v>
      </c>
      <c r="V3079" s="21" t="s">
        <v>115</v>
      </c>
      <c r="W3079" s="22">
        <v>5</v>
      </c>
      <c r="X3079" s="23"/>
    </row>
    <row r="3080" spans="1:24" s="1" customFormat="1" ht="21" customHeight="1" x14ac:dyDescent="0.3">
      <c r="A3080" s="24" t="s">
        <v>23</v>
      </c>
      <c r="B3080" s="24" t="s">
        <v>3403</v>
      </c>
      <c r="C3080" s="27" t="s">
        <v>3406</v>
      </c>
      <c r="D3080" s="54"/>
      <c r="E3080" s="39" t="str">
        <f>HYPERLINK("https://www.google.ru/search?q=6009974-600&amp;newwindow=1&amp;tbm=isch","Еще фото")</f>
        <v>Еще фото</v>
      </c>
      <c r="F3080" s="13"/>
      <c r="G3080" s="24" t="s">
        <v>3366</v>
      </c>
      <c r="H3080" s="24" t="s">
        <v>27</v>
      </c>
      <c r="I3080" s="24" t="s">
        <v>3366</v>
      </c>
      <c r="J3080" s="14" t="s">
        <v>29</v>
      </c>
      <c r="K3080" s="15" t="s">
        <v>54</v>
      </c>
      <c r="L3080" s="57"/>
      <c r="M3080" s="14"/>
      <c r="N3080" s="14" t="s">
        <v>57</v>
      </c>
      <c r="O3080" s="14"/>
      <c r="P3080" s="15" t="s">
        <v>203</v>
      </c>
      <c r="Q3080" s="16">
        <v>3399</v>
      </c>
      <c r="R3080" s="17">
        <v>46</v>
      </c>
      <c r="S3080" s="18">
        <v>2110.779</v>
      </c>
      <c r="T3080" s="19" t="s">
        <v>36</v>
      </c>
      <c r="U3080" s="20" t="s">
        <v>126</v>
      </c>
      <c r="V3080" s="21" t="s">
        <v>127</v>
      </c>
      <c r="W3080" s="22">
        <v>7</v>
      </c>
      <c r="X3080" s="23"/>
    </row>
    <row r="3081" spans="1:24" s="1" customFormat="1" ht="21" customHeight="1" x14ac:dyDescent="0.3">
      <c r="A3081" s="24" t="s">
        <v>23</v>
      </c>
      <c r="B3081" s="24" t="s">
        <v>3403</v>
      </c>
      <c r="C3081" s="27" t="s">
        <v>3406</v>
      </c>
      <c r="D3081" s="54"/>
      <c r="E3081" s="39" t="str">
        <f>HYPERLINK("https://www.google.ru/search?q=6009974-600&amp;newwindow=1&amp;tbm=isch","Еще фото")</f>
        <v>Еще фото</v>
      </c>
      <c r="F3081" s="13"/>
      <c r="G3081" s="24" t="s">
        <v>3366</v>
      </c>
      <c r="H3081" s="24" t="s">
        <v>27</v>
      </c>
      <c r="I3081" s="24" t="s">
        <v>3366</v>
      </c>
      <c r="J3081" s="14" t="s">
        <v>29</v>
      </c>
      <c r="K3081" s="15" t="s">
        <v>54</v>
      </c>
      <c r="L3081" s="57"/>
      <c r="M3081" s="14"/>
      <c r="N3081" s="14" t="s">
        <v>57</v>
      </c>
      <c r="O3081" s="14"/>
      <c r="P3081" s="15" t="s">
        <v>203</v>
      </c>
      <c r="Q3081" s="16">
        <v>3399</v>
      </c>
      <c r="R3081" s="17">
        <v>46</v>
      </c>
      <c r="S3081" s="18">
        <v>2110.779</v>
      </c>
      <c r="T3081" s="19" t="s">
        <v>36</v>
      </c>
      <c r="U3081" s="20" t="s">
        <v>128</v>
      </c>
      <c r="V3081" s="21" t="s">
        <v>129</v>
      </c>
      <c r="W3081" s="22">
        <v>5</v>
      </c>
      <c r="X3081" s="23"/>
    </row>
    <row r="3082" spans="1:24" s="1" customFormat="1" ht="21" customHeight="1" x14ac:dyDescent="0.3">
      <c r="A3082" s="24" t="s">
        <v>23</v>
      </c>
      <c r="B3082" s="24" t="s">
        <v>3403</v>
      </c>
      <c r="C3082" s="27" t="s">
        <v>3406</v>
      </c>
      <c r="D3082" s="54"/>
      <c r="E3082" s="39" t="str">
        <f>HYPERLINK("https://www.google.ru/search?q=6009974-600&amp;newwindow=1&amp;tbm=isch","Еще фото")</f>
        <v>Еще фото</v>
      </c>
      <c r="F3082" s="13"/>
      <c r="G3082" s="24" t="s">
        <v>3366</v>
      </c>
      <c r="H3082" s="24" t="s">
        <v>27</v>
      </c>
      <c r="I3082" s="24" t="s">
        <v>3366</v>
      </c>
      <c r="J3082" s="14" t="s">
        <v>29</v>
      </c>
      <c r="K3082" s="15" t="s">
        <v>54</v>
      </c>
      <c r="L3082" s="57"/>
      <c r="M3082" s="14"/>
      <c r="N3082" s="14" t="s">
        <v>57</v>
      </c>
      <c r="O3082" s="14"/>
      <c r="P3082" s="15" t="s">
        <v>203</v>
      </c>
      <c r="Q3082" s="16">
        <v>3399</v>
      </c>
      <c r="R3082" s="17">
        <v>46</v>
      </c>
      <c r="S3082" s="18">
        <v>2110.779</v>
      </c>
      <c r="T3082" s="19" t="s">
        <v>36</v>
      </c>
      <c r="U3082" s="20" t="s">
        <v>59</v>
      </c>
      <c r="V3082" s="21" t="s">
        <v>60</v>
      </c>
      <c r="W3082" s="22">
        <v>11</v>
      </c>
      <c r="X3082" s="23"/>
    </row>
    <row r="3083" spans="1:24" s="1" customFormat="1" ht="32.1" customHeight="1" x14ac:dyDescent="0.3">
      <c r="A3083" s="24" t="s">
        <v>23</v>
      </c>
      <c r="B3083" s="24" t="s">
        <v>3403</v>
      </c>
      <c r="C3083" s="27" t="s">
        <v>3406</v>
      </c>
      <c r="D3083" s="55"/>
      <c r="E3083" s="39" t="str">
        <f>HYPERLINK("https://www.google.ru/search?q=6009974-600&amp;newwindow=1&amp;tbm=isch","Еще фото")</f>
        <v>Еще фото</v>
      </c>
      <c r="F3083" s="13"/>
      <c r="G3083" s="24" t="s">
        <v>3366</v>
      </c>
      <c r="H3083" s="24" t="s">
        <v>27</v>
      </c>
      <c r="I3083" s="24" t="s">
        <v>3366</v>
      </c>
      <c r="J3083" s="14" t="s">
        <v>29</v>
      </c>
      <c r="K3083" s="15" t="s">
        <v>54</v>
      </c>
      <c r="L3083" s="58"/>
      <c r="M3083" s="14"/>
      <c r="N3083" s="14" t="s">
        <v>57</v>
      </c>
      <c r="O3083" s="14"/>
      <c r="P3083" s="15" t="s">
        <v>203</v>
      </c>
      <c r="Q3083" s="16">
        <v>3399</v>
      </c>
      <c r="R3083" s="17">
        <v>46</v>
      </c>
      <c r="S3083" s="18">
        <v>2110.779</v>
      </c>
      <c r="T3083" s="19" t="s">
        <v>36</v>
      </c>
      <c r="U3083" s="20" t="s">
        <v>130</v>
      </c>
      <c r="V3083" s="21" t="s">
        <v>131</v>
      </c>
      <c r="W3083" s="22">
        <v>5</v>
      </c>
      <c r="X3083" s="23"/>
    </row>
    <row r="3084" spans="1:24" s="1" customFormat="1" ht="108" customHeight="1" x14ac:dyDescent="0.3">
      <c r="A3084" s="11" t="s">
        <v>23</v>
      </c>
      <c r="B3084" s="11" t="s">
        <v>3407</v>
      </c>
      <c r="C3084" s="12" t="s">
        <v>3408</v>
      </c>
      <c r="D3084" s="25"/>
      <c r="E3084" s="39" t="str">
        <f>HYPERLINK("https://www.google.ru/search?q=1360925-782&amp;newwindow=1&amp;tbm=isch","Еще фото")</f>
        <v>Еще фото</v>
      </c>
      <c r="F3084" s="13"/>
      <c r="G3084" s="11" t="s">
        <v>3366</v>
      </c>
      <c r="H3084" s="11" t="s">
        <v>27</v>
      </c>
      <c r="I3084" s="14" t="s">
        <v>3366</v>
      </c>
      <c r="J3084" s="14" t="s">
        <v>29</v>
      </c>
      <c r="K3084" s="15" t="s">
        <v>64</v>
      </c>
      <c r="L3084" s="14" t="s">
        <v>3409</v>
      </c>
      <c r="M3084" s="14"/>
      <c r="N3084" s="14" t="s">
        <v>1896</v>
      </c>
      <c r="O3084" s="14"/>
      <c r="P3084" s="15" t="s">
        <v>100</v>
      </c>
      <c r="Q3084" s="16">
        <v>2399</v>
      </c>
      <c r="R3084" s="17">
        <v>45.81</v>
      </c>
      <c r="S3084" s="18">
        <v>1494.9884999999999</v>
      </c>
      <c r="T3084" s="19" t="s">
        <v>36</v>
      </c>
      <c r="U3084" s="20" t="s">
        <v>43</v>
      </c>
      <c r="V3084" s="21" t="s">
        <v>42</v>
      </c>
      <c r="W3084" s="22">
        <v>1</v>
      </c>
      <c r="X3084" s="23"/>
    </row>
    <row r="3085" spans="1:24" s="1" customFormat="1" ht="108" customHeight="1" x14ac:dyDescent="0.3">
      <c r="A3085" s="11" t="s">
        <v>23</v>
      </c>
      <c r="B3085" s="11" t="s">
        <v>3410</v>
      </c>
      <c r="C3085" s="12" t="s">
        <v>3411</v>
      </c>
      <c r="D3085" s="25"/>
      <c r="E3085" s="39" t="str">
        <f>HYPERLINK("https://www.google.ru/search?q=1389882-494&amp;newwindow=1&amp;tbm=isch","Еще фото")</f>
        <v>Еще фото</v>
      </c>
      <c r="F3085" s="13"/>
      <c r="G3085" s="11" t="s">
        <v>3366</v>
      </c>
      <c r="H3085" s="11" t="s">
        <v>27</v>
      </c>
      <c r="I3085" s="14" t="s">
        <v>3366</v>
      </c>
      <c r="J3085" s="14" t="s">
        <v>29</v>
      </c>
      <c r="K3085" s="15" t="s">
        <v>64</v>
      </c>
      <c r="L3085" s="14" t="s">
        <v>3412</v>
      </c>
      <c r="M3085" s="14"/>
      <c r="N3085" s="14" t="s">
        <v>50</v>
      </c>
      <c r="O3085" s="14"/>
      <c r="P3085" s="15" t="s">
        <v>51</v>
      </c>
      <c r="Q3085" s="16">
        <v>3499</v>
      </c>
      <c r="R3085" s="17">
        <v>45.7</v>
      </c>
      <c r="S3085" s="18">
        <v>2184.9884999999999</v>
      </c>
      <c r="T3085" s="19" t="s">
        <v>36</v>
      </c>
      <c r="U3085" s="20" t="s">
        <v>43</v>
      </c>
      <c r="V3085" s="21" t="s">
        <v>42</v>
      </c>
      <c r="W3085" s="22">
        <v>1</v>
      </c>
      <c r="X3085" s="23"/>
    </row>
    <row r="3086" spans="1:24" s="1" customFormat="1" ht="108" customHeight="1" x14ac:dyDescent="0.3">
      <c r="A3086" s="11" t="s">
        <v>23</v>
      </c>
      <c r="B3086" s="11" t="s">
        <v>3413</v>
      </c>
      <c r="C3086" s="12" t="s">
        <v>3414</v>
      </c>
      <c r="D3086" s="25"/>
      <c r="E3086" s="39" t="str">
        <f>HYPERLINK("https://www.google.ru/search?q=1382620-703&amp;newwindow=1&amp;tbm=isch","Еще фото")</f>
        <v>Еще фото</v>
      </c>
      <c r="F3086" s="13"/>
      <c r="G3086" s="11" t="s">
        <v>3366</v>
      </c>
      <c r="H3086" s="11" t="s">
        <v>27</v>
      </c>
      <c r="I3086" s="14" t="s">
        <v>3366</v>
      </c>
      <c r="J3086" s="14" t="s">
        <v>29</v>
      </c>
      <c r="K3086" s="15" t="s">
        <v>30</v>
      </c>
      <c r="L3086" s="14" t="s">
        <v>3415</v>
      </c>
      <c r="M3086" s="14"/>
      <c r="N3086" s="14" t="s">
        <v>50</v>
      </c>
      <c r="O3086" s="14"/>
      <c r="P3086" s="15" t="s">
        <v>51</v>
      </c>
      <c r="Q3086" s="16">
        <v>3299</v>
      </c>
      <c r="R3086" s="17">
        <v>45.44</v>
      </c>
      <c r="S3086" s="18">
        <v>2069.9884999999999</v>
      </c>
      <c r="T3086" s="19" t="s">
        <v>36</v>
      </c>
      <c r="U3086" s="20" t="s">
        <v>104</v>
      </c>
      <c r="V3086" s="21" t="s">
        <v>105</v>
      </c>
      <c r="W3086" s="22">
        <v>1</v>
      </c>
      <c r="X3086" s="23"/>
    </row>
    <row r="3087" spans="1:24" s="1" customFormat="1" ht="51.95" customHeight="1" x14ac:dyDescent="0.3">
      <c r="A3087" s="11" t="s">
        <v>23</v>
      </c>
      <c r="B3087" s="11" t="s">
        <v>3416</v>
      </c>
      <c r="C3087" s="12" t="s">
        <v>3417</v>
      </c>
      <c r="D3087" s="59"/>
      <c r="E3087" s="39" t="str">
        <f>HYPERLINK("https://www.google.ru/search?q=1360939-001&amp;newwindow=1&amp;tbm=isch","Еще фото")</f>
        <v>Еще фото</v>
      </c>
      <c r="F3087" s="13" t="s">
        <v>310</v>
      </c>
      <c r="G3087" s="11" t="s">
        <v>3366</v>
      </c>
      <c r="H3087" s="11" t="s">
        <v>27</v>
      </c>
      <c r="I3087" s="14" t="s">
        <v>3366</v>
      </c>
      <c r="J3087" s="14" t="s">
        <v>29</v>
      </c>
      <c r="K3087" s="15" t="s">
        <v>64</v>
      </c>
      <c r="L3087" s="56" t="s">
        <v>3418</v>
      </c>
      <c r="M3087" s="14" t="s">
        <v>66</v>
      </c>
      <c r="N3087" s="14" t="s">
        <v>33</v>
      </c>
      <c r="O3087" s="14" t="s">
        <v>34</v>
      </c>
      <c r="P3087" s="15" t="s">
        <v>100</v>
      </c>
      <c r="Q3087" s="16">
        <v>2799</v>
      </c>
      <c r="R3087" s="17">
        <v>40</v>
      </c>
      <c r="S3087" s="18">
        <v>1931.31</v>
      </c>
      <c r="T3087" s="19" t="s">
        <v>36</v>
      </c>
      <c r="U3087" s="20" t="s">
        <v>69</v>
      </c>
      <c r="V3087" s="21" t="s">
        <v>70</v>
      </c>
      <c r="W3087" s="22">
        <v>13</v>
      </c>
      <c r="X3087" s="23"/>
    </row>
    <row r="3088" spans="1:24" s="1" customFormat="1" ht="60.95" customHeight="1" x14ac:dyDescent="0.3">
      <c r="A3088" s="24" t="s">
        <v>23</v>
      </c>
      <c r="B3088" s="24" t="s">
        <v>3416</v>
      </c>
      <c r="C3088" s="12" t="s">
        <v>3417</v>
      </c>
      <c r="D3088" s="60"/>
      <c r="E3088" s="39" t="str">
        <f>HYPERLINK("https://www.google.ru/search?q=1360939-001&amp;newwindow=1&amp;tbm=isch","Еще фото")</f>
        <v>Еще фото</v>
      </c>
      <c r="F3088" s="13" t="s">
        <v>310</v>
      </c>
      <c r="G3088" s="24" t="s">
        <v>3366</v>
      </c>
      <c r="H3088" s="24" t="s">
        <v>27</v>
      </c>
      <c r="I3088" s="24" t="s">
        <v>3366</v>
      </c>
      <c r="J3088" s="14" t="s">
        <v>29</v>
      </c>
      <c r="K3088" s="15" t="s">
        <v>64</v>
      </c>
      <c r="L3088" s="58"/>
      <c r="M3088" s="14" t="s">
        <v>66</v>
      </c>
      <c r="N3088" s="14" t="s">
        <v>33</v>
      </c>
      <c r="O3088" s="14" t="s">
        <v>34</v>
      </c>
      <c r="P3088" s="15" t="s">
        <v>100</v>
      </c>
      <c r="Q3088" s="16">
        <v>2799</v>
      </c>
      <c r="R3088" s="17">
        <v>40</v>
      </c>
      <c r="S3088" s="18">
        <v>1931.31</v>
      </c>
      <c r="T3088" s="19" t="s">
        <v>36</v>
      </c>
      <c r="U3088" s="20" t="s">
        <v>41</v>
      </c>
      <c r="V3088" s="21" t="s">
        <v>40</v>
      </c>
      <c r="W3088" s="22">
        <v>19</v>
      </c>
      <c r="X3088" s="23"/>
    </row>
    <row r="3089" spans="1:24" s="1" customFormat="1" ht="108" customHeight="1" x14ac:dyDescent="0.3">
      <c r="A3089" s="11" t="s">
        <v>23</v>
      </c>
      <c r="B3089" s="11" t="s">
        <v>3419</v>
      </c>
      <c r="C3089" s="12" t="s">
        <v>3420</v>
      </c>
      <c r="D3089" s="25"/>
      <c r="E3089" s="39" t="str">
        <f>HYPERLINK("https://www.google.ru/search?q=1361631-390&amp;newwindow=1&amp;tbm=isch","Еще фото")</f>
        <v>Еще фото</v>
      </c>
      <c r="F3089" s="13"/>
      <c r="G3089" s="11" t="s">
        <v>3366</v>
      </c>
      <c r="H3089" s="11" t="s">
        <v>27</v>
      </c>
      <c r="I3089" s="14" t="s">
        <v>3366</v>
      </c>
      <c r="J3089" s="14" t="s">
        <v>29</v>
      </c>
      <c r="K3089" s="15" t="s">
        <v>30</v>
      </c>
      <c r="L3089" s="14" t="s">
        <v>3421</v>
      </c>
      <c r="M3089" s="14" t="s">
        <v>49</v>
      </c>
      <c r="N3089" s="14" t="s">
        <v>125</v>
      </c>
      <c r="O3089" s="14"/>
      <c r="P3089" s="15" t="s">
        <v>113</v>
      </c>
      <c r="Q3089" s="16">
        <v>5199</v>
      </c>
      <c r="R3089" s="17">
        <v>40</v>
      </c>
      <c r="S3089" s="18">
        <v>3587.31</v>
      </c>
      <c r="T3089" s="19" t="s">
        <v>36</v>
      </c>
      <c r="U3089" s="20" t="s">
        <v>39</v>
      </c>
      <c r="V3089" s="21" t="s">
        <v>40</v>
      </c>
      <c r="W3089" s="22">
        <v>1</v>
      </c>
      <c r="X3089" s="23"/>
    </row>
    <row r="3090" spans="1:24" s="1" customFormat="1" ht="26.1" customHeight="1" x14ac:dyDescent="0.3">
      <c r="A3090" s="11" t="s">
        <v>23</v>
      </c>
      <c r="B3090" s="11" t="s">
        <v>3422</v>
      </c>
      <c r="C3090" s="12" t="s">
        <v>3423</v>
      </c>
      <c r="D3090" s="53"/>
      <c r="E3090" s="39" t="str">
        <f>HYPERLINK("https://www.google.ru/search?q=1373718-466&amp;newwindow=1&amp;tbm=isch","Еще фото")</f>
        <v>Еще фото</v>
      </c>
      <c r="F3090" s="13"/>
      <c r="G3090" s="11" t="s">
        <v>3366</v>
      </c>
      <c r="H3090" s="11" t="s">
        <v>27</v>
      </c>
      <c r="I3090" s="14" t="s">
        <v>3366</v>
      </c>
      <c r="J3090" s="14" t="s">
        <v>29</v>
      </c>
      <c r="K3090" s="15" t="s">
        <v>30</v>
      </c>
      <c r="L3090" s="56"/>
      <c r="M3090" s="14"/>
      <c r="N3090" s="14" t="s">
        <v>91</v>
      </c>
      <c r="O3090" s="14"/>
      <c r="P3090" s="15" t="s">
        <v>51</v>
      </c>
      <c r="Q3090" s="16">
        <v>3699</v>
      </c>
      <c r="R3090" s="17">
        <v>40</v>
      </c>
      <c r="S3090" s="18">
        <v>2552.31</v>
      </c>
      <c r="T3090" s="19" t="s">
        <v>36</v>
      </c>
      <c r="U3090" s="20" t="s">
        <v>37</v>
      </c>
      <c r="V3090" s="21" t="s">
        <v>38</v>
      </c>
      <c r="W3090" s="22">
        <v>1</v>
      </c>
      <c r="X3090" s="23"/>
    </row>
    <row r="3091" spans="1:24" s="1" customFormat="1" ht="26.1" customHeight="1" x14ac:dyDescent="0.3">
      <c r="A3091" s="24" t="s">
        <v>23</v>
      </c>
      <c r="B3091" s="24" t="s">
        <v>3422</v>
      </c>
      <c r="C3091" s="12" t="s">
        <v>3423</v>
      </c>
      <c r="D3091" s="54"/>
      <c r="E3091" s="39" t="str">
        <f>HYPERLINK("https://www.google.ru/search?q=1373718-466&amp;newwindow=1&amp;tbm=isch","Еще фото")</f>
        <v>Еще фото</v>
      </c>
      <c r="F3091" s="13"/>
      <c r="G3091" s="24" t="s">
        <v>3366</v>
      </c>
      <c r="H3091" s="24" t="s">
        <v>27</v>
      </c>
      <c r="I3091" s="24" t="s">
        <v>3366</v>
      </c>
      <c r="J3091" s="14" t="s">
        <v>29</v>
      </c>
      <c r="K3091" s="15" t="s">
        <v>30</v>
      </c>
      <c r="L3091" s="57"/>
      <c r="M3091" s="14"/>
      <c r="N3091" s="14" t="s">
        <v>91</v>
      </c>
      <c r="O3091" s="14"/>
      <c r="P3091" s="15" t="s">
        <v>51</v>
      </c>
      <c r="Q3091" s="16">
        <v>3699</v>
      </c>
      <c r="R3091" s="17">
        <v>40</v>
      </c>
      <c r="S3091" s="18">
        <v>2552.31</v>
      </c>
      <c r="T3091" s="19" t="s">
        <v>36</v>
      </c>
      <c r="U3091" s="20" t="s">
        <v>39</v>
      </c>
      <c r="V3091" s="21" t="s">
        <v>40</v>
      </c>
      <c r="W3091" s="22">
        <v>1</v>
      </c>
      <c r="X3091" s="23"/>
    </row>
    <row r="3092" spans="1:24" s="1" customFormat="1" ht="26.1" customHeight="1" x14ac:dyDescent="0.3">
      <c r="A3092" s="24" t="s">
        <v>23</v>
      </c>
      <c r="B3092" s="24" t="s">
        <v>3422</v>
      </c>
      <c r="C3092" s="12" t="s">
        <v>3423</v>
      </c>
      <c r="D3092" s="54"/>
      <c r="E3092" s="39" t="str">
        <f>HYPERLINK("https://www.google.ru/search?q=1373718-466&amp;newwindow=1&amp;tbm=isch","Еще фото")</f>
        <v>Еще фото</v>
      </c>
      <c r="F3092" s="13"/>
      <c r="G3092" s="24" t="s">
        <v>3366</v>
      </c>
      <c r="H3092" s="24" t="s">
        <v>27</v>
      </c>
      <c r="I3092" s="24" t="s">
        <v>3366</v>
      </c>
      <c r="J3092" s="14" t="s">
        <v>29</v>
      </c>
      <c r="K3092" s="15" t="s">
        <v>30</v>
      </c>
      <c r="L3092" s="57"/>
      <c r="M3092" s="14"/>
      <c r="N3092" s="14" t="s">
        <v>91</v>
      </c>
      <c r="O3092" s="14"/>
      <c r="P3092" s="15" t="s">
        <v>51</v>
      </c>
      <c r="Q3092" s="16">
        <v>3699</v>
      </c>
      <c r="R3092" s="17">
        <v>40</v>
      </c>
      <c r="S3092" s="18">
        <v>2552.31</v>
      </c>
      <c r="T3092" s="19" t="s">
        <v>36</v>
      </c>
      <c r="U3092" s="20" t="s">
        <v>41</v>
      </c>
      <c r="V3092" s="21" t="s">
        <v>42</v>
      </c>
      <c r="W3092" s="22">
        <v>2</v>
      </c>
      <c r="X3092" s="23"/>
    </row>
    <row r="3093" spans="1:24" s="1" customFormat="1" ht="26.1" customHeight="1" x14ac:dyDescent="0.3">
      <c r="A3093" s="24" t="s">
        <v>23</v>
      </c>
      <c r="B3093" s="24" t="s">
        <v>3422</v>
      </c>
      <c r="C3093" s="12" t="s">
        <v>3423</v>
      </c>
      <c r="D3093" s="55"/>
      <c r="E3093" s="39" t="str">
        <f>HYPERLINK("https://www.google.ru/search?q=1373718-466&amp;newwindow=1&amp;tbm=isch","Еще фото")</f>
        <v>Еще фото</v>
      </c>
      <c r="F3093" s="13"/>
      <c r="G3093" s="24" t="s">
        <v>3366</v>
      </c>
      <c r="H3093" s="24" t="s">
        <v>27</v>
      </c>
      <c r="I3093" s="24" t="s">
        <v>3366</v>
      </c>
      <c r="J3093" s="14" t="s">
        <v>29</v>
      </c>
      <c r="K3093" s="15" t="s">
        <v>30</v>
      </c>
      <c r="L3093" s="58"/>
      <c r="M3093" s="14"/>
      <c r="N3093" s="14" t="s">
        <v>91</v>
      </c>
      <c r="O3093" s="14"/>
      <c r="P3093" s="15" t="s">
        <v>51</v>
      </c>
      <c r="Q3093" s="16">
        <v>3699</v>
      </c>
      <c r="R3093" s="17">
        <v>40</v>
      </c>
      <c r="S3093" s="18">
        <v>2552.31</v>
      </c>
      <c r="T3093" s="19" t="s">
        <v>36</v>
      </c>
      <c r="U3093" s="20" t="s">
        <v>43</v>
      </c>
      <c r="V3093" s="21" t="s">
        <v>44</v>
      </c>
      <c r="W3093" s="22">
        <v>1</v>
      </c>
      <c r="X3093" s="23"/>
    </row>
    <row r="3094" spans="1:24" s="1" customFormat="1" ht="108" customHeight="1" x14ac:dyDescent="0.3">
      <c r="A3094" s="11" t="s">
        <v>23</v>
      </c>
      <c r="B3094" s="11" t="s">
        <v>3424</v>
      </c>
      <c r="C3094" s="12" t="s">
        <v>3425</v>
      </c>
      <c r="D3094" s="25"/>
      <c r="E3094" s="39" t="str">
        <f>HYPERLINK("https://www.google.ru/search?q=1376508-045&amp;newwindow=1&amp;tbm=isch","Еще фото")</f>
        <v>Еще фото</v>
      </c>
      <c r="F3094" s="13"/>
      <c r="G3094" s="11" t="s">
        <v>3366</v>
      </c>
      <c r="H3094" s="11" t="s">
        <v>27</v>
      </c>
      <c r="I3094" s="14" t="s">
        <v>3366</v>
      </c>
      <c r="J3094" s="14" t="s">
        <v>29</v>
      </c>
      <c r="K3094" s="15" t="s">
        <v>30</v>
      </c>
      <c r="L3094" s="14" t="s">
        <v>3426</v>
      </c>
      <c r="M3094" s="14"/>
      <c r="N3094" s="14" t="s">
        <v>84</v>
      </c>
      <c r="O3094" s="14"/>
      <c r="P3094" s="15" t="s">
        <v>779</v>
      </c>
      <c r="Q3094" s="16">
        <v>6299</v>
      </c>
      <c r="R3094" s="17">
        <v>40</v>
      </c>
      <c r="S3094" s="18">
        <v>4346.3099999999995</v>
      </c>
      <c r="T3094" s="19" t="s">
        <v>36</v>
      </c>
      <c r="U3094" s="20" t="s">
        <v>37</v>
      </c>
      <c r="V3094" s="21" t="s">
        <v>38</v>
      </c>
      <c r="W3094" s="22">
        <v>3</v>
      </c>
      <c r="X3094" s="23"/>
    </row>
    <row r="3095" spans="1:24" s="1" customFormat="1" ht="108" customHeight="1" x14ac:dyDescent="0.3">
      <c r="A3095" s="11" t="s">
        <v>23</v>
      </c>
      <c r="B3095" s="11" t="s">
        <v>3427</v>
      </c>
      <c r="C3095" s="12" t="s">
        <v>3428</v>
      </c>
      <c r="D3095" s="25"/>
      <c r="E3095" s="39" t="str">
        <f>HYPERLINK("https://www.google.ru/search?q=1376509-001&amp;newwindow=1&amp;tbm=isch","Еще фото")</f>
        <v>Еще фото</v>
      </c>
      <c r="F3095" s="13"/>
      <c r="G3095" s="11" t="s">
        <v>3366</v>
      </c>
      <c r="H3095" s="11" t="s">
        <v>27</v>
      </c>
      <c r="I3095" s="14" t="s">
        <v>3366</v>
      </c>
      <c r="J3095" s="14" t="s">
        <v>29</v>
      </c>
      <c r="K3095" s="15" t="s">
        <v>30</v>
      </c>
      <c r="L3095" s="14" t="s">
        <v>3429</v>
      </c>
      <c r="M3095" s="14"/>
      <c r="N3095" s="14" t="s">
        <v>33</v>
      </c>
      <c r="O3095" s="14"/>
      <c r="P3095" s="15" t="s">
        <v>779</v>
      </c>
      <c r="Q3095" s="16">
        <v>6499</v>
      </c>
      <c r="R3095" s="17">
        <v>40</v>
      </c>
      <c r="S3095" s="18">
        <v>4484.3099999999995</v>
      </c>
      <c r="T3095" s="19" t="s">
        <v>36</v>
      </c>
      <c r="U3095" s="20" t="s">
        <v>37</v>
      </c>
      <c r="V3095" s="21" t="s">
        <v>38</v>
      </c>
      <c r="W3095" s="22">
        <v>1</v>
      </c>
      <c r="X3095" s="23"/>
    </row>
    <row r="3096" spans="1:24" s="1" customFormat="1" ht="51.95" customHeight="1" x14ac:dyDescent="0.3">
      <c r="A3096" s="11" t="s">
        <v>23</v>
      </c>
      <c r="B3096" s="11" t="s">
        <v>3430</v>
      </c>
      <c r="C3096" s="12" t="s">
        <v>3431</v>
      </c>
      <c r="D3096" s="59"/>
      <c r="E3096" s="39" t="str">
        <f>HYPERLINK("https://www.google.ru/search?q=1376509-036&amp;newwindow=1&amp;tbm=isch","Еще фото")</f>
        <v>Еще фото</v>
      </c>
      <c r="F3096" s="13"/>
      <c r="G3096" s="11" t="s">
        <v>3366</v>
      </c>
      <c r="H3096" s="11" t="s">
        <v>27</v>
      </c>
      <c r="I3096" s="14" t="s">
        <v>3366</v>
      </c>
      <c r="J3096" s="14" t="s">
        <v>29</v>
      </c>
      <c r="K3096" s="15" t="s">
        <v>30</v>
      </c>
      <c r="L3096" s="56" t="s">
        <v>3429</v>
      </c>
      <c r="M3096" s="14"/>
      <c r="N3096" s="14" t="s">
        <v>84</v>
      </c>
      <c r="O3096" s="14"/>
      <c r="P3096" s="15" t="s">
        <v>779</v>
      </c>
      <c r="Q3096" s="16">
        <v>6499</v>
      </c>
      <c r="R3096" s="17">
        <v>40</v>
      </c>
      <c r="S3096" s="18">
        <v>4484.3099999999995</v>
      </c>
      <c r="T3096" s="19" t="s">
        <v>36</v>
      </c>
      <c r="U3096" s="20" t="s">
        <v>39</v>
      </c>
      <c r="V3096" s="21" t="s">
        <v>40</v>
      </c>
      <c r="W3096" s="22">
        <v>1</v>
      </c>
      <c r="X3096" s="23"/>
    </row>
    <row r="3097" spans="1:24" s="1" customFormat="1" ht="60.95" customHeight="1" x14ac:dyDescent="0.3">
      <c r="A3097" s="24" t="s">
        <v>23</v>
      </c>
      <c r="B3097" s="24" t="s">
        <v>3430</v>
      </c>
      <c r="C3097" s="12" t="s">
        <v>3431</v>
      </c>
      <c r="D3097" s="60"/>
      <c r="E3097" s="39" t="str">
        <f>HYPERLINK("https://www.google.ru/search?q=1376509-036&amp;newwindow=1&amp;tbm=isch","Еще фото")</f>
        <v>Еще фото</v>
      </c>
      <c r="F3097" s="13"/>
      <c r="G3097" s="24" t="s">
        <v>3366</v>
      </c>
      <c r="H3097" s="24" t="s">
        <v>27</v>
      </c>
      <c r="I3097" s="24" t="s">
        <v>3366</v>
      </c>
      <c r="J3097" s="14" t="s">
        <v>29</v>
      </c>
      <c r="K3097" s="15" t="s">
        <v>30</v>
      </c>
      <c r="L3097" s="58"/>
      <c r="M3097" s="14"/>
      <c r="N3097" s="14" t="s">
        <v>84</v>
      </c>
      <c r="O3097" s="14"/>
      <c r="P3097" s="15" t="s">
        <v>779</v>
      </c>
      <c r="Q3097" s="16">
        <v>6499</v>
      </c>
      <c r="R3097" s="17">
        <v>40</v>
      </c>
      <c r="S3097" s="18">
        <v>4484.3099999999995</v>
      </c>
      <c r="T3097" s="19" t="s">
        <v>36</v>
      </c>
      <c r="U3097" s="20" t="s">
        <v>41</v>
      </c>
      <c r="V3097" s="21" t="s">
        <v>42</v>
      </c>
      <c r="W3097" s="22">
        <v>1</v>
      </c>
      <c r="X3097" s="23"/>
    </row>
    <row r="3098" spans="1:24" s="1" customFormat="1" ht="26.1" customHeight="1" x14ac:dyDescent="0.3">
      <c r="A3098" s="11" t="s">
        <v>23</v>
      </c>
      <c r="B3098" s="11" t="s">
        <v>3430</v>
      </c>
      <c r="C3098" s="12" t="s">
        <v>3432</v>
      </c>
      <c r="D3098" s="53"/>
      <c r="E3098" s="39" t="str">
        <f>HYPERLINK("https://www.google.ru/search?q=1376509-452&amp;newwindow=1&amp;tbm=isch","Еще фото")</f>
        <v>Еще фото</v>
      </c>
      <c r="F3098" s="13"/>
      <c r="G3098" s="11" t="s">
        <v>3366</v>
      </c>
      <c r="H3098" s="11" t="s">
        <v>27</v>
      </c>
      <c r="I3098" s="14" t="s">
        <v>3366</v>
      </c>
      <c r="J3098" s="14" t="s">
        <v>29</v>
      </c>
      <c r="K3098" s="15" t="s">
        <v>30</v>
      </c>
      <c r="L3098" s="56" t="s">
        <v>3433</v>
      </c>
      <c r="M3098" s="14"/>
      <c r="N3098" s="14" t="s">
        <v>91</v>
      </c>
      <c r="O3098" s="14"/>
      <c r="P3098" s="15" t="s">
        <v>779</v>
      </c>
      <c r="Q3098" s="16">
        <v>6299</v>
      </c>
      <c r="R3098" s="17">
        <v>40</v>
      </c>
      <c r="S3098" s="18">
        <v>4346.3099999999995</v>
      </c>
      <c r="T3098" s="19" t="s">
        <v>36</v>
      </c>
      <c r="U3098" s="20" t="s">
        <v>37</v>
      </c>
      <c r="V3098" s="21" t="s">
        <v>38</v>
      </c>
      <c r="W3098" s="22">
        <v>3</v>
      </c>
      <c r="X3098" s="23"/>
    </row>
    <row r="3099" spans="1:24" s="1" customFormat="1" ht="26.1" customHeight="1" x14ac:dyDescent="0.3">
      <c r="A3099" s="24" t="s">
        <v>23</v>
      </c>
      <c r="B3099" s="24" t="s">
        <v>3430</v>
      </c>
      <c r="C3099" s="12" t="s">
        <v>3432</v>
      </c>
      <c r="D3099" s="54"/>
      <c r="E3099" s="39" t="str">
        <f>HYPERLINK("https://www.google.ru/search?q=1376509-452&amp;newwindow=1&amp;tbm=isch","Еще фото")</f>
        <v>Еще фото</v>
      </c>
      <c r="F3099" s="13"/>
      <c r="G3099" s="24" t="s">
        <v>3366</v>
      </c>
      <c r="H3099" s="24" t="s">
        <v>27</v>
      </c>
      <c r="I3099" s="24" t="s">
        <v>3366</v>
      </c>
      <c r="J3099" s="14" t="s">
        <v>29</v>
      </c>
      <c r="K3099" s="15" t="s">
        <v>30</v>
      </c>
      <c r="L3099" s="57"/>
      <c r="M3099" s="14"/>
      <c r="N3099" s="14" t="s">
        <v>91</v>
      </c>
      <c r="O3099" s="14"/>
      <c r="P3099" s="15" t="s">
        <v>779</v>
      </c>
      <c r="Q3099" s="16">
        <v>6299</v>
      </c>
      <c r="R3099" s="17">
        <v>40</v>
      </c>
      <c r="S3099" s="18">
        <v>4346.3099999999995</v>
      </c>
      <c r="T3099" s="19" t="s">
        <v>36</v>
      </c>
      <c r="U3099" s="20" t="s">
        <v>39</v>
      </c>
      <c r="V3099" s="21" t="s">
        <v>40</v>
      </c>
      <c r="W3099" s="22">
        <v>6</v>
      </c>
      <c r="X3099" s="23"/>
    </row>
    <row r="3100" spans="1:24" s="1" customFormat="1" ht="26.1" customHeight="1" x14ac:dyDescent="0.3">
      <c r="A3100" s="24" t="s">
        <v>23</v>
      </c>
      <c r="B3100" s="24" t="s">
        <v>3430</v>
      </c>
      <c r="C3100" s="12" t="s">
        <v>3432</v>
      </c>
      <c r="D3100" s="54"/>
      <c r="E3100" s="39" t="str">
        <f>HYPERLINK("https://www.google.ru/search?q=1376509-452&amp;newwindow=1&amp;tbm=isch","Еще фото")</f>
        <v>Еще фото</v>
      </c>
      <c r="F3100" s="13"/>
      <c r="G3100" s="24" t="s">
        <v>3366</v>
      </c>
      <c r="H3100" s="24" t="s">
        <v>27</v>
      </c>
      <c r="I3100" s="24" t="s">
        <v>3366</v>
      </c>
      <c r="J3100" s="14" t="s">
        <v>29</v>
      </c>
      <c r="K3100" s="15" t="s">
        <v>30</v>
      </c>
      <c r="L3100" s="57"/>
      <c r="M3100" s="14"/>
      <c r="N3100" s="14" t="s">
        <v>91</v>
      </c>
      <c r="O3100" s="14"/>
      <c r="P3100" s="15" t="s">
        <v>779</v>
      </c>
      <c r="Q3100" s="16">
        <v>6299</v>
      </c>
      <c r="R3100" s="17">
        <v>40</v>
      </c>
      <c r="S3100" s="18">
        <v>4346.3099999999995</v>
      </c>
      <c r="T3100" s="19" t="s">
        <v>36</v>
      </c>
      <c r="U3100" s="20" t="s">
        <v>41</v>
      </c>
      <c r="V3100" s="21" t="s">
        <v>42</v>
      </c>
      <c r="W3100" s="22">
        <v>5</v>
      </c>
      <c r="X3100" s="23"/>
    </row>
    <row r="3101" spans="1:24" s="1" customFormat="1" ht="26.1" customHeight="1" x14ac:dyDescent="0.3">
      <c r="A3101" s="24" t="s">
        <v>23</v>
      </c>
      <c r="B3101" s="24" t="s">
        <v>3430</v>
      </c>
      <c r="C3101" s="12" t="s">
        <v>3432</v>
      </c>
      <c r="D3101" s="55"/>
      <c r="E3101" s="39" t="str">
        <f>HYPERLINK("https://www.google.ru/search?q=1376509-452&amp;newwindow=1&amp;tbm=isch","Еще фото")</f>
        <v>Еще фото</v>
      </c>
      <c r="F3101" s="13"/>
      <c r="G3101" s="24" t="s">
        <v>3366</v>
      </c>
      <c r="H3101" s="24" t="s">
        <v>27</v>
      </c>
      <c r="I3101" s="24" t="s">
        <v>3366</v>
      </c>
      <c r="J3101" s="14" t="s">
        <v>29</v>
      </c>
      <c r="K3101" s="15" t="s">
        <v>30</v>
      </c>
      <c r="L3101" s="58"/>
      <c r="M3101" s="14"/>
      <c r="N3101" s="14" t="s">
        <v>91</v>
      </c>
      <c r="O3101" s="14"/>
      <c r="P3101" s="15" t="s">
        <v>779</v>
      </c>
      <c r="Q3101" s="16">
        <v>6299</v>
      </c>
      <c r="R3101" s="17">
        <v>40</v>
      </c>
      <c r="S3101" s="18">
        <v>4346.3099999999995</v>
      </c>
      <c r="T3101" s="19" t="s">
        <v>36</v>
      </c>
      <c r="U3101" s="20" t="s">
        <v>43</v>
      </c>
      <c r="V3101" s="21" t="s">
        <v>44</v>
      </c>
      <c r="W3101" s="22">
        <v>5</v>
      </c>
      <c r="X3101" s="23"/>
    </row>
    <row r="3102" spans="1:24" s="1" customFormat="1" ht="51.95" customHeight="1" x14ac:dyDescent="0.3">
      <c r="A3102" s="11" t="s">
        <v>23</v>
      </c>
      <c r="B3102" s="11" t="s">
        <v>3434</v>
      </c>
      <c r="C3102" s="12" t="s">
        <v>3435</v>
      </c>
      <c r="D3102" s="59"/>
      <c r="E3102" s="39" t="str">
        <f>HYPERLINK("https://www.google.ru/search?q=1376782-014&amp;newwindow=1&amp;tbm=isch","Еще фото")</f>
        <v>Еще фото</v>
      </c>
      <c r="F3102" s="13"/>
      <c r="G3102" s="11" t="s">
        <v>3366</v>
      </c>
      <c r="H3102" s="11" t="s">
        <v>27</v>
      </c>
      <c r="I3102" s="14" t="s">
        <v>3366</v>
      </c>
      <c r="J3102" s="14" t="s">
        <v>29</v>
      </c>
      <c r="K3102" s="15" t="s">
        <v>30</v>
      </c>
      <c r="L3102" s="56" t="s">
        <v>3436</v>
      </c>
      <c r="M3102" s="14"/>
      <c r="N3102" s="14" t="s">
        <v>84</v>
      </c>
      <c r="O3102" s="14"/>
      <c r="P3102" s="15" t="s">
        <v>100</v>
      </c>
      <c r="Q3102" s="16">
        <v>7799</v>
      </c>
      <c r="R3102" s="17">
        <v>40</v>
      </c>
      <c r="S3102" s="18">
        <v>5381.3099999999995</v>
      </c>
      <c r="T3102" s="19" t="s">
        <v>36</v>
      </c>
      <c r="U3102" s="20" t="s">
        <v>37</v>
      </c>
      <c r="V3102" s="21" t="s">
        <v>38</v>
      </c>
      <c r="W3102" s="22">
        <v>6</v>
      </c>
      <c r="X3102" s="23"/>
    </row>
    <row r="3103" spans="1:24" s="1" customFormat="1" ht="60.95" customHeight="1" x14ac:dyDescent="0.3">
      <c r="A3103" s="24" t="s">
        <v>23</v>
      </c>
      <c r="B3103" s="24" t="s">
        <v>3434</v>
      </c>
      <c r="C3103" s="12" t="s">
        <v>3435</v>
      </c>
      <c r="D3103" s="60"/>
      <c r="E3103" s="39" t="str">
        <f>HYPERLINK("https://www.google.ru/search?q=1376782-014&amp;newwindow=1&amp;tbm=isch","Еще фото")</f>
        <v>Еще фото</v>
      </c>
      <c r="F3103" s="13"/>
      <c r="G3103" s="24" t="s">
        <v>3366</v>
      </c>
      <c r="H3103" s="24" t="s">
        <v>27</v>
      </c>
      <c r="I3103" s="24" t="s">
        <v>3366</v>
      </c>
      <c r="J3103" s="14" t="s">
        <v>29</v>
      </c>
      <c r="K3103" s="15" t="s">
        <v>30</v>
      </c>
      <c r="L3103" s="58"/>
      <c r="M3103" s="14"/>
      <c r="N3103" s="14" t="s">
        <v>84</v>
      </c>
      <c r="O3103" s="14"/>
      <c r="P3103" s="15" t="s">
        <v>100</v>
      </c>
      <c r="Q3103" s="16">
        <v>7799</v>
      </c>
      <c r="R3103" s="17">
        <v>40</v>
      </c>
      <c r="S3103" s="18">
        <v>5381.3099999999995</v>
      </c>
      <c r="T3103" s="19" t="s">
        <v>36</v>
      </c>
      <c r="U3103" s="20" t="s">
        <v>104</v>
      </c>
      <c r="V3103" s="21" t="s">
        <v>105</v>
      </c>
      <c r="W3103" s="22">
        <v>5</v>
      </c>
      <c r="X3103" s="23"/>
    </row>
    <row r="3104" spans="1:24" s="1" customFormat="1" ht="108" customHeight="1" x14ac:dyDescent="0.3">
      <c r="A3104" s="11" t="s">
        <v>23</v>
      </c>
      <c r="B3104" s="11" t="s">
        <v>3437</v>
      </c>
      <c r="C3104" s="12" t="s">
        <v>3438</v>
      </c>
      <c r="D3104" s="25"/>
      <c r="E3104" s="39" t="str">
        <f>HYPERLINK("https://www.google.ru/search?q=1376831-001&amp;newwindow=1&amp;tbm=isch","Еще фото")</f>
        <v>Еще фото</v>
      </c>
      <c r="F3104" s="13"/>
      <c r="G3104" s="11" t="s">
        <v>3366</v>
      </c>
      <c r="H3104" s="11" t="s">
        <v>27</v>
      </c>
      <c r="I3104" s="14" t="s">
        <v>3366</v>
      </c>
      <c r="J3104" s="14" t="s">
        <v>29</v>
      </c>
      <c r="K3104" s="15" t="s">
        <v>30</v>
      </c>
      <c r="L3104" s="14" t="s">
        <v>3439</v>
      </c>
      <c r="M3104" s="14"/>
      <c r="N3104" s="14" t="s">
        <v>33</v>
      </c>
      <c r="O3104" s="14"/>
      <c r="P3104" s="15" t="s">
        <v>51</v>
      </c>
      <c r="Q3104" s="16">
        <v>7999</v>
      </c>
      <c r="R3104" s="17">
        <v>40</v>
      </c>
      <c r="S3104" s="18">
        <v>5519.3099999999995</v>
      </c>
      <c r="T3104" s="19" t="s">
        <v>36</v>
      </c>
      <c r="U3104" s="20" t="s">
        <v>37</v>
      </c>
      <c r="V3104" s="21" t="s">
        <v>38</v>
      </c>
      <c r="W3104" s="22">
        <v>4</v>
      </c>
      <c r="X3104" s="23"/>
    </row>
    <row r="3105" spans="1:24" s="1" customFormat="1" ht="108" customHeight="1" x14ac:dyDescent="0.3">
      <c r="A3105" s="11" t="s">
        <v>23</v>
      </c>
      <c r="B3105" s="11" t="s">
        <v>3440</v>
      </c>
      <c r="C3105" s="12" t="s">
        <v>3441</v>
      </c>
      <c r="D3105" s="25"/>
      <c r="E3105" s="39" t="str">
        <f>HYPERLINK("https://www.google.ru/search?q=1377191-300&amp;newwindow=1&amp;tbm=isch","Еще фото")</f>
        <v>Еще фото</v>
      </c>
      <c r="F3105" s="13"/>
      <c r="G3105" s="11" t="s">
        <v>3366</v>
      </c>
      <c r="H3105" s="11" t="s">
        <v>27</v>
      </c>
      <c r="I3105" s="14" t="s">
        <v>3366</v>
      </c>
      <c r="J3105" s="14" t="s">
        <v>47</v>
      </c>
      <c r="K3105" s="15" t="s">
        <v>30</v>
      </c>
      <c r="L3105" s="14" t="s">
        <v>3442</v>
      </c>
      <c r="M3105" s="14"/>
      <c r="N3105" s="14" t="s">
        <v>125</v>
      </c>
      <c r="O3105" s="14"/>
      <c r="P3105" s="15" t="s">
        <v>51</v>
      </c>
      <c r="Q3105" s="16">
        <v>5299</v>
      </c>
      <c r="R3105" s="17">
        <v>40</v>
      </c>
      <c r="S3105" s="18">
        <v>3656.31</v>
      </c>
      <c r="T3105" s="19" t="s">
        <v>36</v>
      </c>
      <c r="U3105" s="20" t="s">
        <v>37</v>
      </c>
      <c r="V3105" s="21" t="s">
        <v>38</v>
      </c>
      <c r="W3105" s="22">
        <v>2</v>
      </c>
      <c r="X3105" s="23"/>
    </row>
    <row r="3106" spans="1:24" s="1" customFormat="1" ht="21" customHeight="1" x14ac:dyDescent="0.3">
      <c r="A3106" s="11" t="s">
        <v>23</v>
      </c>
      <c r="B3106" s="11" t="s">
        <v>3378</v>
      </c>
      <c r="C3106" s="26" t="s">
        <v>3443</v>
      </c>
      <c r="D3106" s="53"/>
      <c r="E3106" s="39" t="str">
        <f>HYPERLINK("https://www.google.ru/search?q=1377264-425&amp;newwindow=1&amp;tbm=isch","Еще фото")</f>
        <v>Еще фото</v>
      </c>
      <c r="F3106" s="13"/>
      <c r="G3106" s="11" t="s">
        <v>3366</v>
      </c>
      <c r="H3106" s="11" t="s">
        <v>27</v>
      </c>
      <c r="I3106" s="14" t="s">
        <v>3366</v>
      </c>
      <c r="J3106" s="14" t="s">
        <v>29</v>
      </c>
      <c r="K3106" s="15" t="s">
        <v>54</v>
      </c>
      <c r="L3106" s="56"/>
      <c r="M3106" s="14"/>
      <c r="N3106" s="14" t="s">
        <v>50</v>
      </c>
      <c r="O3106" s="14"/>
      <c r="P3106" s="15" t="s">
        <v>51</v>
      </c>
      <c r="Q3106" s="16">
        <v>2799</v>
      </c>
      <c r="R3106" s="17">
        <v>40</v>
      </c>
      <c r="S3106" s="18">
        <v>1931.31</v>
      </c>
      <c r="T3106" s="19" t="s">
        <v>36</v>
      </c>
      <c r="U3106" s="20" t="s">
        <v>114</v>
      </c>
      <c r="V3106" s="21" t="s">
        <v>115</v>
      </c>
      <c r="W3106" s="22">
        <v>6</v>
      </c>
      <c r="X3106" s="23"/>
    </row>
    <row r="3107" spans="1:24" s="1" customFormat="1" ht="21" customHeight="1" x14ac:dyDescent="0.3">
      <c r="A3107" s="24" t="s">
        <v>23</v>
      </c>
      <c r="B3107" s="24" t="s">
        <v>3378</v>
      </c>
      <c r="C3107" s="27" t="s">
        <v>3443</v>
      </c>
      <c r="D3107" s="54"/>
      <c r="E3107" s="39" t="str">
        <f>HYPERLINK("https://www.google.ru/search?q=1377264-425&amp;newwindow=1&amp;tbm=isch","Еще фото")</f>
        <v>Еще фото</v>
      </c>
      <c r="F3107" s="13"/>
      <c r="G3107" s="24" t="s">
        <v>3366</v>
      </c>
      <c r="H3107" s="24" t="s">
        <v>27</v>
      </c>
      <c r="I3107" s="24" t="s">
        <v>3366</v>
      </c>
      <c r="J3107" s="14" t="s">
        <v>29</v>
      </c>
      <c r="K3107" s="15" t="s">
        <v>54</v>
      </c>
      <c r="L3107" s="57"/>
      <c r="M3107" s="14"/>
      <c r="N3107" s="14" t="s">
        <v>50</v>
      </c>
      <c r="O3107" s="14"/>
      <c r="P3107" s="15" t="s">
        <v>51</v>
      </c>
      <c r="Q3107" s="16">
        <v>2799</v>
      </c>
      <c r="R3107" s="17">
        <v>40</v>
      </c>
      <c r="S3107" s="18">
        <v>1931.31</v>
      </c>
      <c r="T3107" s="19" t="s">
        <v>36</v>
      </c>
      <c r="U3107" s="20" t="s">
        <v>126</v>
      </c>
      <c r="V3107" s="21" t="s">
        <v>127</v>
      </c>
      <c r="W3107" s="22">
        <v>7</v>
      </c>
      <c r="X3107" s="23"/>
    </row>
    <row r="3108" spans="1:24" s="1" customFormat="1" ht="21" customHeight="1" x14ac:dyDescent="0.3">
      <c r="A3108" s="24" t="s">
        <v>23</v>
      </c>
      <c r="B3108" s="24" t="s">
        <v>3378</v>
      </c>
      <c r="C3108" s="27" t="s">
        <v>3443</v>
      </c>
      <c r="D3108" s="54"/>
      <c r="E3108" s="39" t="str">
        <f>HYPERLINK("https://www.google.ru/search?q=1377264-425&amp;newwindow=1&amp;tbm=isch","Еще фото")</f>
        <v>Еще фото</v>
      </c>
      <c r="F3108" s="13"/>
      <c r="G3108" s="24" t="s">
        <v>3366</v>
      </c>
      <c r="H3108" s="24" t="s">
        <v>27</v>
      </c>
      <c r="I3108" s="24" t="s">
        <v>3366</v>
      </c>
      <c r="J3108" s="14" t="s">
        <v>29</v>
      </c>
      <c r="K3108" s="15" t="s">
        <v>54</v>
      </c>
      <c r="L3108" s="57"/>
      <c r="M3108" s="14"/>
      <c r="N3108" s="14" t="s">
        <v>50</v>
      </c>
      <c r="O3108" s="14"/>
      <c r="P3108" s="15" t="s">
        <v>51</v>
      </c>
      <c r="Q3108" s="16">
        <v>2799</v>
      </c>
      <c r="R3108" s="17">
        <v>40</v>
      </c>
      <c r="S3108" s="18">
        <v>1931.31</v>
      </c>
      <c r="T3108" s="19" t="s">
        <v>36</v>
      </c>
      <c r="U3108" s="20" t="s">
        <v>128</v>
      </c>
      <c r="V3108" s="21" t="s">
        <v>129</v>
      </c>
      <c r="W3108" s="22">
        <v>6</v>
      </c>
      <c r="X3108" s="23"/>
    </row>
    <row r="3109" spans="1:24" s="1" customFormat="1" ht="21" customHeight="1" x14ac:dyDescent="0.3">
      <c r="A3109" s="24" t="s">
        <v>23</v>
      </c>
      <c r="B3109" s="24" t="s">
        <v>3378</v>
      </c>
      <c r="C3109" s="27" t="s">
        <v>3443</v>
      </c>
      <c r="D3109" s="54"/>
      <c r="E3109" s="39" t="str">
        <f>HYPERLINK("https://www.google.ru/search?q=1377264-425&amp;newwindow=1&amp;tbm=isch","Еще фото")</f>
        <v>Еще фото</v>
      </c>
      <c r="F3109" s="13"/>
      <c r="G3109" s="24" t="s">
        <v>3366</v>
      </c>
      <c r="H3109" s="24" t="s">
        <v>27</v>
      </c>
      <c r="I3109" s="24" t="s">
        <v>3366</v>
      </c>
      <c r="J3109" s="14" t="s">
        <v>29</v>
      </c>
      <c r="K3109" s="15" t="s">
        <v>54</v>
      </c>
      <c r="L3109" s="57"/>
      <c r="M3109" s="14"/>
      <c r="N3109" s="14" t="s">
        <v>50</v>
      </c>
      <c r="O3109" s="14"/>
      <c r="P3109" s="15" t="s">
        <v>51</v>
      </c>
      <c r="Q3109" s="16">
        <v>2799</v>
      </c>
      <c r="R3109" s="17">
        <v>40</v>
      </c>
      <c r="S3109" s="18">
        <v>1931.31</v>
      </c>
      <c r="T3109" s="19" t="s">
        <v>36</v>
      </c>
      <c r="U3109" s="20" t="s">
        <v>59</v>
      </c>
      <c r="V3109" s="21" t="s">
        <v>60</v>
      </c>
      <c r="W3109" s="22">
        <v>7</v>
      </c>
      <c r="X3109" s="23"/>
    </row>
    <row r="3110" spans="1:24" s="1" customFormat="1" ht="32.1" customHeight="1" x14ac:dyDescent="0.3">
      <c r="A3110" s="24" t="s">
        <v>23</v>
      </c>
      <c r="B3110" s="24" t="s">
        <v>3378</v>
      </c>
      <c r="C3110" s="27" t="s">
        <v>3443</v>
      </c>
      <c r="D3110" s="55"/>
      <c r="E3110" s="39" t="str">
        <f>HYPERLINK("https://www.google.ru/search?q=1377264-425&amp;newwindow=1&amp;tbm=isch","Еще фото")</f>
        <v>Еще фото</v>
      </c>
      <c r="F3110" s="13"/>
      <c r="G3110" s="24" t="s">
        <v>3366</v>
      </c>
      <c r="H3110" s="24" t="s">
        <v>27</v>
      </c>
      <c r="I3110" s="24" t="s">
        <v>3366</v>
      </c>
      <c r="J3110" s="14" t="s">
        <v>29</v>
      </c>
      <c r="K3110" s="15" t="s">
        <v>54</v>
      </c>
      <c r="L3110" s="58"/>
      <c r="M3110" s="14"/>
      <c r="N3110" s="14" t="s">
        <v>50</v>
      </c>
      <c r="O3110" s="14"/>
      <c r="P3110" s="15" t="s">
        <v>51</v>
      </c>
      <c r="Q3110" s="16">
        <v>2799</v>
      </c>
      <c r="R3110" s="17">
        <v>40</v>
      </c>
      <c r="S3110" s="18">
        <v>1931.31</v>
      </c>
      <c r="T3110" s="19" t="s">
        <v>36</v>
      </c>
      <c r="U3110" s="20" t="s">
        <v>130</v>
      </c>
      <c r="V3110" s="21" t="s">
        <v>131</v>
      </c>
      <c r="W3110" s="22">
        <v>7</v>
      </c>
      <c r="X3110" s="23"/>
    </row>
    <row r="3111" spans="1:24" s="1" customFormat="1" ht="21" customHeight="1" x14ac:dyDescent="0.3">
      <c r="A3111" s="11" t="s">
        <v>23</v>
      </c>
      <c r="B3111" s="11" t="s">
        <v>3378</v>
      </c>
      <c r="C3111" s="26" t="s">
        <v>3444</v>
      </c>
      <c r="D3111" s="53"/>
      <c r="E3111" s="39" t="str">
        <f>HYPERLINK("https://www.google.ru/search?q=1377264-712&amp;newwindow=1&amp;tbm=isch","Еще фото")</f>
        <v>Еще фото</v>
      </c>
      <c r="F3111" s="13"/>
      <c r="G3111" s="11" t="s">
        <v>3366</v>
      </c>
      <c r="H3111" s="11" t="s">
        <v>27</v>
      </c>
      <c r="I3111" s="14" t="s">
        <v>3366</v>
      </c>
      <c r="J3111" s="14" t="s">
        <v>29</v>
      </c>
      <c r="K3111" s="15" t="s">
        <v>54</v>
      </c>
      <c r="L3111" s="56"/>
      <c r="M3111" s="14"/>
      <c r="N3111" s="14" t="s">
        <v>125</v>
      </c>
      <c r="O3111" s="14"/>
      <c r="P3111" s="15" t="s">
        <v>51</v>
      </c>
      <c r="Q3111" s="16">
        <v>2799</v>
      </c>
      <c r="R3111" s="17">
        <v>40</v>
      </c>
      <c r="S3111" s="18">
        <v>1931.31</v>
      </c>
      <c r="T3111" s="19" t="s">
        <v>36</v>
      </c>
      <c r="U3111" s="20" t="s">
        <v>114</v>
      </c>
      <c r="V3111" s="21" t="s">
        <v>115</v>
      </c>
      <c r="W3111" s="22">
        <v>5</v>
      </c>
      <c r="X3111" s="23"/>
    </row>
    <row r="3112" spans="1:24" s="1" customFormat="1" ht="21" customHeight="1" x14ac:dyDescent="0.3">
      <c r="A3112" s="24" t="s">
        <v>23</v>
      </c>
      <c r="B3112" s="24" t="s">
        <v>3378</v>
      </c>
      <c r="C3112" s="27" t="s">
        <v>3444</v>
      </c>
      <c r="D3112" s="54"/>
      <c r="E3112" s="39" t="str">
        <f>HYPERLINK("https://www.google.ru/search?q=1377264-712&amp;newwindow=1&amp;tbm=isch","Еще фото")</f>
        <v>Еще фото</v>
      </c>
      <c r="F3112" s="13"/>
      <c r="G3112" s="24" t="s">
        <v>3366</v>
      </c>
      <c r="H3112" s="24" t="s">
        <v>27</v>
      </c>
      <c r="I3112" s="24" t="s">
        <v>3366</v>
      </c>
      <c r="J3112" s="14" t="s">
        <v>29</v>
      </c>
      <c r="K3112" s="15" t="s">
        <v>54</v>
      </c>
      <c r="L3112" s="57"/>
      <c r="M3112" s="14"/>
      <c r="N3112" s="14" t="s">
        <v>125</v>
      </c>
      <c r="O3112" s="14"/>
      <c r="P3112" s="15" t="s">
        <v>51</v>
      </c>
      <c r="Q3112" s="16">
        <v>2799</v>
      </c>
      <c r="R3112" s="17">
        <v>40</v>
      </c>
      <c r="S3112" s="18">
        <v>1931.31</v>
      </c>
      <c r="T3112" s="19" t="s">
        <v>36</v>
      </c>
      <c r="U3112" s="20" t="s">
        <v>126</v>
      </c>
      <c r="V3112" s="21" t="s">
        <v>127</v>
      </c>
      <c r="W3112" s="22">
        <v>6</v>
      </c>
      <c r="X3112" s="23"/>
    </row>
    <row r="3113" spans="1:24" s="1" customFormat="1" ht="21" customHeight="1" x14ac:dyDescent="0.3">
      <c r="A3113" s="24" t="s">
        <v>23</v>
      </c>
      <c r="B3113" s="24" t="s">
        <v>3378</v>
      </c>
      <c r="C3113" s="27" t="s">
        <v>3444</v>
      </c>
      <c r="D3113" s="54"/>
      <c r="E3113" s="39" t="str">
        <f>HYPERLINK("https://www.google.ru/search?q=1377264-712&amp;newwindow=1&amp;tbm=isch","Еще фото")</f>
        <v>Еще фото</v>
      </c>
      <c r="F3113" s="13"/>
      <c r="G3113" s="24" t="s">
        <v>3366</v>
      </c>
      <c r="H3113" s="24" t="s">
        <v>27</v>
      </c>
      <c r="I3113" s="24" t="s">
        <v>3366</v>
      </c>
      <c r="J3113" s="14" t="s">
        <v>29</v>
      </c>
      <c r="K3113" s="15" t="s">
        <v>54</v>
      </c>
      <c r="L3113" s="57"/>
      <c r="M3113" s="14"/>
      <c r="N3113" s="14" t="s">
        <v>125</v>
      </c>
      <c r="O3113" s="14"/>
      <c r="P3113" s="15" t="s">
        <v>51</v>
      </c>
      <c r="Q3113" s="16">
        <v>2799</v>
      </c>
      <c r="R3113" s="17">
        <v>40</v>
      </c>
      <c r="S3113" s="18">
        <v>1931.31</v>
      </c>
      <c r="T3113" s="19" t="s">
        <v>36</v>
      </c>
      <c r="U3113" s="20" t="s">
        <v>128</v>
      </c>
      <c r="V3113" s="21" t="s">
        <v>129</v>
      </c>
      <c r="W3113" s="22">
        <v>7</v>
      </c>
      <c r="X3113" s="23"/>
    </row>
    <row r="3114" spans="1:24" s="1" customFormat="1" ht="21" customHeight="1" x14ac:dyDescent="0.3">
      <c r="A3114" s="24" t="s">
        <v>23</v>
      </c>
      <c r="B3114" s="24" t="s">
        <v>3378</v>
      </c>
      <c r="C3114" s="27" t="s">
        <v>3444</v>
      </c>
      <c r="D3114" s="54"/>
      <c r="E3114" s="39" t="str">
        <f>HYPERLINK("https://www.google.ru/search?q=1377264-712&amp;newwindow=1&amp;tbm=isch","Еще фото")</f>
        <v>Еще фото</v>
      </c>
      <c r="F3114" s="13"/>
      <c r="G3114" s="24" t="s">
        <v>3366</v>
      </c>
      <c r="H3114" s="24" t="s">
        <v>27</v>
      </c>
      <c r="I3114" s="24" t="s">
        <v>3366</v>
      </c>
      <c r="J3114" s="14" t="s">
        <v>29</v>
      </c>
      <c r="K3114" s="15" t="s">
        <v>54</v>
      </c>
      <c r="L3114" s="57"/>
      <c r="M3114" s="14"/>
      <c r="N3114" s="14" t="s">
        <v>125</v>
      </c>
      <c r="O3114" s="14"/>
      <c r="P3114" s="15" t="s">
        <v>51</v>
      </c>
      <c r="Q3114" s="16">
        <v>2799</v>
      </c>
      <c r="R3114" s="17">
        <v>40</v>
      </c>
      <c r="S3114" s="18">
        <v>1931.31</v>
      </c>
      <c r="T3114" s="19" t="s">
        <v>36</v>
      </c>
      <c r="U3114" s="20" t="s">
        <v>59</v>
      </c>
      <c r="V3114" s="21" t="s">
        <v>60</v>
      </c>
      <c r="W3114" s="22">
        <v>13</v>
      </c>
      <c r="X3114" s="23"/>
    </row>
    <row r="3115" spans="1:24" s="1" customFormat="1" ht="32.1" customHeight="1" x14ac:dyDescent="0.3">
      <c r="A3115" s="24" t="s">
        <v>23</v>
      </c>
      <c r="B3115" s="24" t="s">
        <v>3378</v>
      </c>
      <c r="C3115" s="27" t="s">
        <v>3444</v>
      </c>
      <c r="D3115" s="55"/>
      <c r="E3115" s="39" t="str">
        <f>HYPERLINK("https://www.google.ru/search?q=1377264-712&amp;newwindow=1&amp;tbm=isch","Еще фото")</f>
        <v>Еще фото</v>
      </c>
      <c r="F3115" s="13"/>
      <c r="G3115" s="24" t="s">
        <v>3366</v>
      </c>
      <c r="H3115" s="24" t="s">
        <v>27</v>
      </c>
      <c r="I3115" s="24" t="s">
        <v>3366</v>
      </c>
      <c r="J3115" s="14" t="s">
        <v>29</v>
      </c>
      <c r="K3115" s="15" t="s">
        <v>54</v>
      </c>
      <c r="L3115" s="58"/>
      <c r="M3115" s="14"/>
      <c r="N3115" s="14" t="s">
        <v>125</v>
      </c>
      <c r="O3115" s="14"/>
      <c r="P3115" s="15" t="s">
        <v>51</v>
      </c>
      <c r="Q3115" s="16">
        <v>2799</v>
      </c>
      <c r="R3115" s="17">
        <v>40</v>
      </c>
      <c r="S3115" s="18">
        <v>1931.31</v>
      </c>
      <c r="T3115" s="19" t="s">
        <v>36</v>
      </c>
      <c r="U3115" s="20" t="s">
        <v>130</v>
      </c>
      <c r="V3115" s="21" t="s">
        <v>131</v>
      </c>
      <c r="W3115" s="22">
        <v>6</v>
      </c>
      <c r="X3115" s="23"/>
    </row>
    <row r="3116" spans="1:24" s="1" customFormat="1" ht="21" customHeight="1" x14ac:dyDescent="0.3">
      <c r="A3116" s="11" t="s">
        <v>23</v>
      </c>
      <c r="B3116" s="11" t="s">
        <v>3378</v>
      </c>
      <c r="C3116" s="26" t="s">
        <v>3445</v>
      </c>
      <c r="D3116" s="53"/>
      <c r="E3116" s="39" t="str">
        <f>HYPERLINK("https://www.google.ru/search?q=1377264-870&amp;newwindow=1&amp;tbm=isch","Еще фото")</f>
        <v>Еще фото</v>
      </c>
      <c r="F3116" s="13"/>
      <c r="G3116" s="11" t="s">
        <v>3366</v>
      </c>
      <c r="H3116" s="11" t="s">
        <v>27</v>
      </c>
      <c r="I3116" s="14" t="s">
        <v>3366</v>
      </c>
      <c r="J3116" s="14" t="s">
        <v>29</v>
      </c>
      <c r="K3116" s="15" t="s">
        <v>54</v>
      </c>
      <c r="L3116" s="56"/>
      <c r="M3116" s="14"/>
      <c r="N3116" s="14" t="s">
        <v>434</v>
      </c>
      <c r="O3116" s="14"/>
      <c r="P3116" s="15" t="s">
        <v>51</v>
      </c>
      <c r="Q3116" s="16">
        <v>2799</v>
      </c>
      <c r="R3116" s="17">
        <v>40</v>
      </c>
      <c r="S3116" s="18">
        <v>1931.31</v>
      </c>
      <c r="T3116" s="19" t="s">
        <v>36</v>
      </c>
      <c r="U3116" s="20" t="s">
        <v>114</v>
      </c>
      <c r="V3116" s="21" t="s">
        <v>115</v>
      </c>
      <c r="W3116" s="22">
        <v>6</v>
      </c>
      <c r="X3116" s="23"/>
    </row>
    <row r="3117" spans="1:24" s="1" customFormat="1" ht="21" customHeight="1" x14ac:dyDescent="0.3">
      <c r="A3117" s="24" t="s">
        <v>23</v>
      </c>
      <c r="B3117" s="24" t="s">
        <v>3378</v>
      </c>
      <c r="C3117" s="27" t="s">
        <v>3445</v>
      </c>
      <c r="D3117" s="54"/>
      <c r="E3117" s="39" t="str">
        <f>HYPERLINK("https://www.google.ru/search?q=1377264-870&amp;newwindow=1&amp;tbm=isch","Еще фото")</f>
        <v>Еще фото</v>
      </c>
      <c r="F3117" s="13"/>
      <c r="G3117" s="24" t="s">
        <v>3366</v>
      </c>
      <c r="H3117" s="24" t="s">
        <v>27</v>
      </c>
      <c r="I3117" s="24" t="s">
        <v>3366</v>
      </c>
      <c r="J3117" s="14" t="s">
        <v>29</v>
      </c>
      <c r="K3117" s="15" t="s">
        <v>54</v>
      </c>
      <c r="L3117" s="57"/>
      <c r="M3117" s="14"/>
      <c r="N3117" s="14" t="s">
        <v>434</v>
      </c>
      <c r="O3117" s="14"/>
      <c r="P3117" s="15" t="s">
        <v>51</v>
      </c>
      <c r="Q3117" s="16">
        <v>2799</v>
      </c>
      <c r="R3117" s="17">
        <v>40</v>
      </c>
      <c r="S3117" s="18">
        <v>1931.31</v>
      </c>
      <c r="T3117" s="19" t="s">
        <v>36</v>
      </c>
      <c r="U3117" s="20" t="s">
        <v>126</v>
      </c>
      <c r="V3117" s="21" t="s">
        <v>127</v>
      </c>
      <c r="W3117" s="22">
        <v>7</v>
      </c>
      <c r="X3117" s="23"/>
    </row>
    <row r="3118" spans="1:24" s="1" customFormat="1" ht="21" customHeight="1" x14ac:dyDescent="0.3">
      <c r="A3118" s="24" t="s">
        <v>23</v>
      </c>
      <c r="B3118" s="24" t="s">
        <v>3378</v>
      </c>
      <c r="C3118" s="27" t="s">
        <v>3445</v>
      </c>
      <c r="D3118" s="54"/>
      <c r="E3118" s="39" t="str">
        <f>HYPERLINK("https://www.google.ru/search?q=1377264-870&amp;newwindow=1&amp;tbm=isch","Еще фото")</f>
        <v>Еще фото</v>
      </c>
      <c r="F3118" s="13"/>
      <c r="G3118" s="24" t="s">
        <v>3366</v>
      </c>
      <c r="H3118" s="24" t="s">
        <v>27</v>
      </c>
      <c r="I3118" s="24" t="s">
        <v>3366</v>
      </c>
      <c r="J3118" s="14" t="s">
        <v>29</v>
      </c>
      <c r="K3118" s="15" t="s">
        <v>54</v>
      </c>
      <c r="L3118" s="57"/>
      <c r="M3118" s="14"/>
      <c r="N3118" s="14" t="s">
        <v>434</v>
      </c>
      <c r="O3118" s="14"/>
      <c r="P3118" s="15" t="s">
        <v>51</v>
      </c>
      <c r="Q3118" s="16">
        <v>2799</v>
      </c>
      <c r="R3118" s="17">
        <v>40</v>
      </c>
      <c r="S3118" s="18">
        <v>1931.31</v>
      </c>
      <c r="T3118" s="19" t="s">
        <v>36</v>
      </c>
      <c r="U3118" s="20" t="s">
        <v>128</v>
      </c>
      <c r="V3118" s="21" t="s">
        <v>129</v>
      </c>
      <c r="W3118" s="22">
        <v>7</v>
      </c>
      <c r="X3118" s="23"/>
    </row>
    <row r="3119" spans="1:24" s="1" customFormat="1" ht="21" customHeight="1" x14ac:dyDescent="0.3">
      <c r="A3119" s="24" t="s">
        <v>23</v>
      </c>
      <c r="B3119" s="24" t="s">
        <v>3378</v>
      </c>
      <c r="C3119" s="27" t="s">
        <v>3445</v>
      </c>
      <c r="D3119" s="54"/>
      <c r="E3119" s="39" t="str">
        <f>HYPERLINK("https://www.google.ru/search?q=1377264-870&amp;newwindow=1&amp;tbm=isch","Еще фото")</f>
        <v>Еще фото</v>
      </c>
      <c r="F3119" s="13"/>
      <c r="G3119" s="24" t="s">
        <v>3366</v>
      </c>
      <c r="H3119" s="24" t="s">
        <v>27</v>
      </c>
      <c r="I3119" s="24" t="s">
        <v>3366</v>
      </c>
      <c r="J3119" s="14" t="s">
        <v>29</v>
      </c>
      <c r="K3119" s="15" t="s">
        <v>54</v>
      </c>
      <c r="L3119" s="57"/>
      <c r="M3119" s="14"/>
      <c r="N3119" s="14" t="s">
        <v>434</v>
      </c>
      <c r="O3119" s="14"/>
      <c r="P3119" s="15" t="s">
        <v>51</v>
      </c>
      <c r="Q3119" s="16">
        <v>2799</v>
      </c>
      <c r="R3119" s="17">
        <v>40</v>
      </c>
      <c r="S3119" s="18">
        <v>1931.31</v>
      </c>
      <c r="T3119" s="19" t="s">
        <v>36</v>
      </c>
      <c r="U3119" s="20" t="s">
        <v>59</v>
      </c>
      <c r="V3119" s="21" t="s">
        <v>60</v>
      </c>
      <c r="W3119" s="22">
        <v>13</v>
      </c>
      <c r="X3119" s="23"/>
    </row>
    <row r="3120" spans="1:24" s="1" customFormat="1" ht="32.1" customHeight="1" x14ac:dyDescent="0.3">
      <c r="A3120" s="24" t="s">
        <v>23</v>
      </c>
      <c r="B3120" s="24" t="s">
        <v>3378</v>
      </c>
      <c r="C3120" s="27" t="s">
        <v>3445</v>
      </c>
      <c r="D3120" s="55"/>
      <c r="E3120" s="39" t="str">
        <f>HYPERLINK("https://www.google.ru/search?q=1377264-870&amp;newwindow=1&amp;tbm=isch","Еще фото")</f>
        <v>Еще фото</v>
      </c>
      <c r="F3120" s="13"/>
      <c r="G3120" s="24" t="s">
        <v>3366</v>
      </c>
      <c r="H3120" s="24" t="s">
        <v>27</v>
      </c>
      <c r="I3120" s="24" t="s">
        <v>3366</v>
      </c>
      <c r="J3120" s="14" t="s">
        <v>29</v>
      </c>
      <c r="K3120" s="15" t="s">
        <v>54</v>
      </c>
      <c r="L3120" s="58"/>
      <c r="M3120" s="14"/>
      <c r="N3120" s="14" t="s">
        <v>434</v>
      </c>
      <c r="O3120" s="14"/>
      <c r="P3120" s="15" t="s">
        <v>51</v>
      </c>
      <c r="Q3120" s="16">
        <v>2799</v>
      </c>
      <c r="R3120" s="17">
        <v>40</v>
      </c>
      <c r="S3120" s="18">
        <v>1931.31</v>
      </c>
      <c r="T3120" s="19" t="s">
        <v>36</v>
      </c>
      <c r="U3120" s="20" t="s">
        <v>130</v>
      </c>
      <c r="V3120" s="21" t="s">
        <v>131</v>
      </c>
      <c r="W3120" s="22">
        <v>6</v>
      </c>
      <c r="X3120" s="23"/>
    </row>
    <row r="3121" spans="1:24" s="1" customFormat="1" ht="108" customHeight="1" x14ac:dyDescent="0.3">
      <c r="A3121" s="11" t="s">
        <v>23</v>
      </c>
      <c r="B3121" s="11" t="s">
        <v>3446</v>
      </c>
      <c r="C3121" s="12" t="s">
        <v>3447</v>
      </c>
      <c r="D3121" s="25"/>
      <c r="E3121" s="39" t="str">
        <f>HYPERLINK("https://www.google.ru/search?q=1378604-001&amp;newwindow=1&amp;tbm=isch","Еще фото")</f>
        <v>Еще фото</v>
      </c>
      <c r="F3121" s="13" t="s">
        <v>98</v>
      </c>
      <c r="G3121" s="11" t="s">
        <v>3366</v>
      </c>
      <c r="H3121" s="11" t="s">
        <v>27</v>
      </c>
      <c r="I3121" s="14" t="s">
        <v>3366</v>
      </c>
      <c r="J3121" s="14" t="s">
        <v>29</v>
      </c>
      <c r="K3121" s="15" t="s">
        <v>30</v>
      </c>
      <c r="L3121" s="14" t="s">
        <v>3448</v>
      </c>
      <c r="M3121" s="14"/>
      <c r="N3121" s="14" t="s">
        <v>33</v>
      </c>
      <c r="O3121" s="14"/>
      <c r="P3121" s="15" t="s">
        <v>100</v>
      </c>
      <c r="Q3121" s="16">
        <v>9199</v>
      </c>
      <c r="R3121" s="17">
        <v>40</v>
      </c>
      <c r="S3121" s="18">
        <v>6347.3099999999995</v>
      </c>
      <c r="T3121" s="19" t="s">
        <v>36</v>
      </c>
      <c r="U3121" s="20" t="s">
        <v>37</v>
      </c>
      <c r="V3121" s="21" t="s">
        <v>38</v>
      </c>
      <c r="W3121" s="22">
        <v>1</v>
      </c>
      <c r="X3121" s="23"/>
    </row>
    <row r="3122" spans="1:24" s="1" customFormat="1" ht="108" customHeight="1" x14ac:dyDescent="0.3">
      <c r="A3122" s="11" t="s">
        <v>23</v>
      </c>
      <c r="B3122" s="11" t="s">
        <v>3449</v>
      </c>
      <c r="C3122" s="12" t="s">
        <v>3450</v>
      </c>
      <c r="D3122" s="25"/>
      <c r="E3122" s="39" t="str">
        <f>HYPERLINK("https://www.google.ru/search?q=1379151-466&amp;newwindow=1&amp;tbm=isch","Еще фото")</f>
        <v>Еще фото</v>
      </c>
      <c r="F3122" s="13"/>
      <c r="G3122" s="11" t="s">
        <v>3366</v>
      </c>
      <c r="H3122" s="11" t="s">
        <v>27</v>
      </c>
      <c r="I3122" s="14" t="s">
        <v>3366</v>
      </c>
      <c r="J3122" s="14" t="s">
        <v>29</v>
      </c>
      <c r="K3122" s="15" t="s">
        <v>64</v>
      </c>
      <c r="L3122" s="14" t="s">
        <v>3451</v>
      </c>
      <c r="M3122" s="14"/>
      <c r="N3122" s="14" t="s">
        <v>91</v>
      </c>
      <c r="O3122" s="14"/>
      <c r="P3122" s="15" t="s">
        <v>79</v>
      </c>
      <c r="Q3122" s="16">
        <v>5899</v>
      </c>
      <c r="R3122" s="17">
        <v>40</v>
      </c>
      <c r="S3122" s="18">
        <v>4070.31</v>
      </c>
      <c r="T3122" s="19" t="s">
        <v>36</v>
      </c>
      <c r="U3122" s="20" t="s">
        <v>37</v>
      </c>
      <c r="V3122" s="21" t="s">
        <v>86</v>
      </c>
      <c r="W3122" s="22">
        <v>1</v>
      </c>
      <c r="X3122" s="23"/>
    </row>
    <row r="3123" spans="1:24" s="1" customFormat="1" ht="51.95" customHeight="1" x14ac:dyDescent="0.3">
      <c r="A3123" s="11" t="s">
        <v>23</v>
      </c>
      <c r="B3123" s="11" t="s">
        <v>3452</v>
      </c>
      <c r="C3123" s="12" t="s">
        <v>3453</v>
      </c>
      <c r="D3123" s="59"/>
      <c r="E3123" s="39" t="str">
        <f>HYPERLINK("https://www.google.ru/search?q=1379809-348&amp;newwindow=1&amp;tbm=isch","Еще фото")</f>
        <v>Еще фото</v>
      </c>
      <c r="F3123" s="13"/>
      <c r="G3123" s="11" t="s">
        <v>3366</v>
      </c>
      <c r="H3123" s="11" t="s">
        <v>27</v>
      </c>
      <c r="I3123" s="14" t="s">
        <v>3366</v>
      </c>
      <c r="J3123" s="14" t="s">
        <v>47</v>
      </c>
      <c r="K3123" s="15" t="s">
        <v>30</v>
      </c>
      <c r="L3123" s="56" t="s">
        <v>3454</v>
      </c>
      <c r="M3123" s="14"/>
      <c r="N3123" s="14" t="s">
        <v>125</v>
      </c>
      <c r="O3123" s="14"/>
      <c r="P3123" s="15" t="s">
        <v>152</v>
      </c>
      <c r="Q3123" s="16">
        <v>7999</v>
      </c>
      <c r="R3123" s="17">
        <v>40</v>
      </c>
      <c r="S3123" s="18">
        <v>5519.3099999999995</v>
      </c>
      <c r="T3123" s="19" t="s">
        <v>36</v>
      </c>
      <c r="U3123" s="20" t="s">
        <v>37</v>
      </c>
      <c r="V3123" s="21" t="s">
        <v>38</v>
      </c>
      <c r="W3123" s="22">
        <v>1</v>
      </c>
      <c r="X3123" s="23"/>
    </row>
    <row r="3124" spans="1:24" s="1" customFormat="1" ht="60.95" customHeight="1" x14ac:dyDescent="0.3">
      <c r="A3124" s="24" t="s">
        <v>23</v>
      </c>
      <c r="B3124" s="24" t="s">
        <v>3452</v>
      </c>
      <c r="C3124" s="12" t="s">
        <v>3453</v>
      </c>
      <c r="D3124" s="60"/>
      <c r="E3124" s="39" t="str">
        <f>HYPERLINK("https://www.google.ru/search?q=1379809-348&amp;newwindow=1&amp;tbm=isch","Еще фото")</f>
        <v>Еще фото</v>
      </c>
      <c r="F3124" s="13"/>
      <c r="G3124" s="24" t="s">
        <v>3366</v>
      </c>
      <c r="H3124" s="24" t="s">
        <v>27</v>
      </c>
      <c r="I3124" s="24" t="s">
        <v>3366</v>
      </c>
      <c r="J3124" s="14" t="s">
        <v>47</v>
      </c>
      <c r="K3124" s="15" t="s">
        <v>30</v>
      </c>
      <c r="L3124" s="58"/>
      <c r="M3124" s="14"/>
      <c r="N3124" s="14" t="s">
        <v>125</v>
      </c>
      <c r="O3124" s="14"/>
      <c r="P3124" s="15" t="s">
        <v>152</v>
      </c>
      <c r="Q3124" s="16">
        <v>7999</v>
      </c>
      <c r="R3124" s="17">
        <v>40</v>
      </c>
      <c r="S3124" s="18">
        <v>5519.3099999999995</v>
      </c>
      <c r="T3124" s="19" t="s">
        <v>36</v>
      </c>
      <c r="U3124" s="20" t="s">
        <v>39</v>
      </c>
      <c r="V3124" s="21" t="s">
        <v>40</v>
      </c>
      <c r="W3124" s="22">
        <v>1</v>
      </c>
      <c r="X3124" s="23"/>
    </row>
    <row r="3125" spans="1:24" s="1" customFormat="1" ht="26.1" customHeight="1" x14ac:dyDescent="0.3">
      <c r="A3125" s="11" t="s">
        <v>23</v>
      </c>
      <c r="B3125" s="11" t="s">
        <v>3452</v>
      </c>
      <c r="C3125" s="12" t="s">
        <v>3455</v>
      </c>
      <c r="D3125" s="53"/>
      <c r="E3125" s="39" t="str">
        <f>HYPERLINK("https://www.google.ru/search?q=1379809-466&amp;newwindow=1&amp;tbm=isch","Еще фото")</f>
        <v>Еще фото</v>
      </c>
      <c r="F3125" s="13"/>
      <c r="G3125" s="11" t="s">
        <v>3366</v>
      </c>
      <c r="H3125" s="11" t="s">
        <v>27</v>
      </c>
      <c r="I3125" s="14" t="s">
        <v>3366</v>
      </c>
      <c r="J3125" s="14" t="s">
        <v>47</v>
      </c>
      <c r="K3125" s="15" t="s">
        <v>30</v>
      </c>
      <c r="L3125" s="56"/>
      <c r="M3125" s="14"/>
      <c r="N3125" s="14" t="s">
        <v>91</v>
      </c>
      <c r="O3125" s="14"/>
      <c r="P3125" s="15" t="s">
        <v>152</v>
      </c>
      <c r="Q3125" s="16">
        <v>7199</v>
      </c>
      <c r="R3125" s="17">
        <v>40</v>
      </c>
      <c r="S3125" s="18">
        <v>4967.3099999999995</v>
      </c>
      <c r="T3125" s="19" t="s">
        <v>36</v>
      </c>
      <c r="U3125" s="20" t="s">
        <v>37</v>
      </c>
      <c r="V3125" s="21" t="s">
        <v>38</v>
      </c>
      <c r="W3125" s="22">
        <v>3</v>
      </c>
      <c r="X3125" s="23"/>
    </row>
    <row r="3126" spans="1:24" s="1" customFormat="1" ht="26.1" customHeight="1" x14ac:dyDescent="0.3">
      <c r="A3126" s="24" t="s">
        <v>23</v>
      </c>
      <c r="B3126" s="24" t="s">
        <v>3452</v>
      </c>
      <c r="C3126" s="12" t="s">
        <v>3455</v>
      </c>
      <c r="D3126" s="54"/>
      <c r="E3126" s="39" t="str">
        <f>HYPERLINK("https://www.google.ru/search?q=1379809-466&amp;newwindow=1&amp;tbm=isch","Еще фото")</f>
        <v>Еще фото</v>
      </c>
      <c r="F3126" s="13"/>
      <c r="G3126" s="24" t="s">
        <v>3366</v>
      </c>
      <c r="H3126" s="24" t="s">
        <v>27</v>
      </c>
      <c r="I3126" s="24" t="s">
        <v>3366</v>
      </c>
      <c r="J3126" s="14" t="s">
        <v>47</v>
      </c>
      <c r="K3126" s="15" t="s">
        <v>30</v>
      </c>
      <c r="L3126" s="57"/>
      <c r="M3126" s="14"/>
      <c r="N3126" s="14" t="s">
        <v>91</v>
      </c>
      <c r="O3126" s="14"/>
      <c r="P3126" s="15" t="s">
        <v>152</v>
      </c>
      <c r="Q3126" s="16">
        <v>7199</v>
      </c>
      <c r="R3126" s="17">
        <v>40</v>
      </c>
      <c r="S3126" s="18">
        <v>4967.3099999999995</v>
      </c>
      <c r="T3126" s="19" t="s">
        <v>36</v>
      </c>
      <c r="U3126" s="20" t="s">
        <v>39</v>
      </c>
      <c r="V3126" s="21" t="s">
        <v>40</v>
      </c>
      <c r="W3126" s="22">
        <v>3</v>
      </c>
      <c r="X3126" s="23"/>
    </row>
    <row r="3127" spans="1:24" s="1" customFormat="1" ht="26.1" customHeight="1" x14ac:dyDescent="0.3">
      <c r="A3127" s="24" t="s">
        <v>23</v>
      </c>
      <c r="B3127" s="24" t="s">
        <v>3452</v>
      </c>
      <c r="C3127" s="12" t="s">
        <v>3455</v>
      </c>
      <c r="D3127" s="54"/>
      <c r="E3127" s="39" t="str">
        <f>HYPERLINK("https://www.google.ru/search?q=1379809-466&amp;newwindow=1&amp;tbm=isch","Еще фото")</f>
        <v>Еще фото</v>
      </c>
      <c r="F3127" s="13"/>
      <c r="G3127" s="24" t="s">
        <v>3366</v>
      </c>
      <c r="H3127" s="24" t="s">
        <v>27</v>
      </c>
      <c r="I3127" s="24" t="s">
        <v>3366</v>
      </c>
      <c r="J3127" s="14" t="s">
        <v>47</v>
      </c>
      <c r="K3127" s="15" t="s">
        <v>30</v>
      </c>
      <c r="L3127" s="57"/>
      <c r="M3127" s="14"/>
      <c r="N3127" s="14" t="s">
        <v>91</v>
      </c>
      <c r="O3127" s="14"/>
      <c r="P3127" s="15" t="s">
        <v>152</v>
      </c>
      <c r="Q3127" s="16">
        <v>7199</v>
      </c>
      <c r="R3127" s="17">
        <v>40</v>
      </c>
      <c r="S3127" s="18">
        <v>4967.3099999999995</v>
      </c>
      <c r="T3127" s="19" t="s">
        <v>36</v>
      </c>
      <c r="U3127" s="20" t="s">
        <v>43</v>
      </c>
      <c r="V3127" s="21" t="s">
        <v>44</v>
      </c>
      <c r="W3127" s="22">
        <v>3</v>
      </c>
      <c r="X3127" s="23"/>
    </row>
    <row r="3128" spans="1:24" s="1" customFormat="1" ht="26.1" customHeight="1" x14ac:dyDescent="0.3">
      <c r="A3128" s="24" t="s">
        <v>23</v>
      </c>
      <c r="B3128" s="24" t="s">
        <v>3452</v>
      </c>
      <c r="C3128" s="12" t="s">
        <v>3455</v>
      </c>
      <c r="D3128" s="55"/>
      <c r="E3128" s="39" t="str">
        <f>HYPERLINK("https://www.google.ru/search?q=1379809-466&amp;newwindow=1&amp;tbm=isch","Еще фото")</f>
        <v>Еще фото</v>
      </c>
      <c r="F3128" s="13"/>
      <c r="G3128" s="24" t="s">
        <v>3366</v>
      </c>
      <c r="H3128" s="24" t="s">
        <v>27</v>
      </c>
      <c r="I3128" s="24" t="s">
        <v>3366</v>
      </c>
      <c r="J3128" s="14" t="s">
        <v>47</v>
      </c>
      <c r="K3128" s="15" t="s">
        <v>30</v>
      </c>
      <c r="L3128" s="58"/>
      <c r="M3128" s="14"/>
      <c r="N3128" s="14" t="s">
        <v>91</v>
      </c>
      <c r="O3128" s="14"/>
      <c r="P3128" s="15" t="s">
        <v>152</v>
      </c>
      <c r="Q3128" s="16">
        <v>7199</v>
      </c>
      <c r="R3128" s="17">
        <v>40</v>
      </c>
      <c r="S3128" s="18">
        <v>4967.3099999999995</v>
      </c>
      <c r="T3128" s="19" t="s">
        <v>36</v>
      </c>
      <c r="U3128" s="20" t="s">
        <v>104</v>
      </c>
      <c r="V3128" s="21" t="s">
        <v>105</v>
      </c>
      <c r="W3128" s="22">
        <v>4</v>
      </c>
      <c r="X3128" s="23"/>
    </row>
    <row r="3129" spans="1:24" s="1" customFormat="1" ht="108" customHeight="1" x14ac:dyDescent="0.3">
      <c r="A3129" s="11" t="s">
        <v>23</v>
      </c>
      <c r="B3129" s="11" t="s">
        <v>3456</v>
      </c>
      <c r="C3129" s="12" t="s">
        <v>3457</v>
      </c>
      <c r="D3129" s="25"/>
      <c r="E3129" s="39" t="str">
        <f>HYPERLINK("https://www.google.ru/search?q=1380377-012&amp;newwindow=1&amp;tbm=isch","Еще фото")</f>
        <v>Еще фото</v>
      </c>
      <c r="F3129" s="13"/>
      <c r="G3129" s="11" t="s">
        <v>3366</v>
      </c>
      <c r="H3129" s="11" t="s">
        <v>27</v>
      </c>
      <c r="I3129" s="14" t="s">
        <v>3366</v>
      </c>
      <c r="J3129" s="14" t="s">
        <v>29</v>
      </c>
      <c r="K3129" s="15" t="s">
        <v>30</v>
      </c>
      <c r="L3129" s="14" t="s">
        <v>3458</v>
      </c>
      <c r="M3129" s="14"/>
      <c r="N3129" s="14" t="s">
        <v>84</v>
      </c>
      <c r="O3129" s="14"/>
      <c r="P3129" s="15" t="s">
        <v>113</v>
      </c>
      <c r="Q3129" s="16">
        <v>7099</v>
      </c>
      <c r="R3129" s="17">
        <v>40</v>
      </c>
      <c r="S3129" s="18">
        <v>4898.3099999999995</v>
      </c>
      <c r="T3129" s="19" t="s">
        <v>36</v>
      </c>
      <c r="U3129" s="20" t="s">
        <v>39</v>
      </c>
      <c r="V3129" s="21" t="s">
        <v>40</v>
      </c>
      <c r="W3129" s="22">
        <v>1</v>
      </c>
      <c r="X3129" s="23"/>
    </row>
    <row r="3130" spans="1:24" s="1" customFormat="1" ht="108" customHeight="1" x14ac:dyDescent="0.3">
      <c r="A3130" s="11" t="s">
        <v>23</v>
      </c>
      <c r="B3130" s="11" t="s">
        <v>3413</v>
      </c>
      <c r="C3130" s="12" t="s">
        <v>3459</v>
      </c>
      <c r="D3130" s="25"/>
      <c r="E3130" s="39" t="str">
        <f>HYPERLINK("https://www.google.ru/search?q=1382620-712&amp;newwindow=1&amp;tbm=isch","Еще фото")</f>
        <v>Еще фото</v>
      </c>
      <c r="F3130" s="13"/>
      <c r="G3130" s="11" t="s">
        <v>3366</v>
      </c>
      <c r="H3130" s="11" t="s">
        <v>27</v>
      </c>
      <c r="I3130" s="14" t="s">
        <v>3366</v>
      </c>
      <c r="J3130" s="14" t="s">
        <v>29</v>
      </c>
      <c r="K3130" s="15" t="s">
        <v>30</v>
      </c>
      <c r="L3130" s="14"/>
      <c r="M3130" s="14"/>
      <c r="N3130" s="14" t="s">
        <v>125</v>
      </c>
      <c r="O3130" s="14"/>
      <c r="P3130" s="15" t="s">
        <v>51</v>
      </c>
      <c r="Q3130" s="16">
        <v>3299</v>
      </c>
      <c r="R3130" s="17">
        <v>40</v>
      </c>
      <c r="S3130" s="18">
        <v>2276.31</v>
      </c>
      <c r="T3130" s="19" t="s">
        <v>36</v>
      </c>
      <c r="U3130" s="20" t="s">
        <v>39</v>
      </c>
      <c r="V3130" s="21" t="s">
        <v>40</v>
      </c>
      <c r="W3130" s="22">
        <v>2</v>
      </c>
      <c r="X3130" s="23"/>
    </row>
    <row r="3131" spans="1:24" s="1" customFormat="1" ht="51.95" customHeight="1" x14ac:dyDescent="0.3">
      <c r="A3131" s="11" t="s">
        <v>23</v>
      </c>
      <c r="B3131" s="11" t="s">
        <v>3395</v>
      </c>
      <c r="C3131" s="12" t="s">
        <v>3460</v>
      </c>
      <c r="D3131" s="59"/>
      <c r="E3131" s="39" t="str">
        <f>HYPERLINK("https://www.google.ru/search?q=1383154-014&amp;newwindow=1&amp;tbm=isch","Еще фото")</f>
        <v>Еще фото</v>
      </c>
      <c r="F3131" s="13"/>
      <c r="G3131" s="11" t="s">
        <v>3366</v>
      </c>
      <c r="H3131" s="11" t="s">
        <v>27</v>
      </c>
      <c r="I3131" s="14" t="s">
        <v>3366</v>
      </c>
      <c r="J3131" s="14" t="s">
        <v>212</v>
      </c>
      <c r="K3131" s="15" t="s">
        <v>30</v>
      </c>
      <c r="L3131" s="56" t="s">
        <v>3397</v>
      </c>
      <c r="M3131" s="14"/>
      <c r="N3131" s="14" t="s">
        <v>84</v>
      </c>
      <c r="O3131" s="14"/>
      <c r="P3131" s="15" t="s">
        <v>3398</v>
      </c>
      <c r="Q3131" s="16">
        <v>5999</v>
      </c>
      <c r="R3131" s="17">
        <v>40</v>
      </c>
      <c r="S3131" s="18">
        <v>4139.3099999999995</v>
      </c>
      <c r="T3131" s="19" t="s">
        <v>36</v>
      </c>
      <c r="U3131" s="20" t="s">
        <v>2034</v>
      </c>
      <c r="V3131" s="21" t="s">
        <v>38</v>
      </c>
      <c r="W3131" s="22">
        <v>1</v>
      </c>
      <c r="X3131" s="23"/>
    </row>
    <row r="3132" spans="1:24" s="1" customFormat="1" ht="60.95" customHeight="1" x14ac:dyDescent="0.3">
      <c r="A3132" s="24" t="s">
        <v>23</v>
      </c>
      <c r="B3132" s="24" t="s">
        <v>3395</v>
      </c>
      <c r="C3132" s="12" t="s">
        <v>3460</v>
      </c>
      <c r="D3132" s="60"/>
      <c r="E3132" s="39" t="str">
        <f>HYPERLINK("https://www.google.ru/search?q=1383154-014&amp;newwindow=1&amp;tbm=isch","Еще фото")</f>
        <v>Еще фото</v>
      </c>
      <c r="F3132" s="13"/>
      <c r="G3132" s="24" t="s">
        <v>3366</v>
      </c>
      <c r="H3132" s="24" t="s">
        <v>27</v>
      </c>
      <c r="I3132" s="24" t="s">
        <v>3366</v>
      </c>
      <c r="J3132" s="14" t="s">
        <v>212</v>
      </c>
      <c r="K3132" s="15" t="s">
        <v>30</v>
      </c>
      <c r="L3132" s="58"/>
      <c r="M3132" s="14"/>
      <c r="N3132" s="14" t="s">
        <v>84</v>
      </c>
      <c r="O3132" s="14"/>
      <c r="P3132" s="15" t="s">
        <v>3398</v>
      </c>
      <c r="Q3132" s="16">
        <v>5999</v>
      </c>
      <c r="R3132" s="17">
        <v>40</v>
      </c>
      <c r="S3132" s="18">
        <v>4139.3099999999995</v>
      </c>
      <c r="T3132" s="19" t="s">
        <v>36</v>
      </c>
      <c r="U3132" s="20" t="s">
        <v>3461</v>
      </c>
      <c r="V3132" s="22">
        <v>54</v>
      </c>
      <c r="W3132" s="22">
        <v>3</v>
      </c>
      <c r="X3132" s="23"/>
    </row>
    <row r="3133" spans="1:24" s="1" customFormat="1" ht="108" customHeight="1" x14ac:dyDescent="0.3">
      <c r="A3133" s="11" t="s">
        <v>23</v>
      </c>
      <c r="B3133" s="11" t="s">
        <v>3462</v>
      </c>
      <c r="C3133" s="12" t="s">
        <v>3463</v>
      </c>
      <c r="D3133" s="25"/>
      <c r="E3133" s="39" t="str">
        <f>HYPERLINK("https://www.google.ru/search?q=1383236-279&amp;newwindow=1&amp;tbm=isch","Еще фото")</f>
        <v>Еще фото</v>
      </c>
      <c r="F3133" s="13"/>
      <c r="G3133" s="11" t="s">
        <v>3366</v>
      </c>
      <c r="H3133" s="11" t="s">
        <v>27</v>
      </c>
      <c r="I3133" s="14" t="s">
        <v>3366</v>
      </c>
      <c r="J3133" s="14" t="s">
        <v>29</v>
      </c>
      <c r="K3133" s="15" t="s">
        <v>30</v>
      </c>
      <c r="L3133" s="14" t="s">
        <v>3464</v>
      </c>
      <c r="M3133" s="14"/>
      <c r="N3133" s="14" t="s">
        <v>215</v>
      </c>
      <c r="O3133" s="14"/>
      <c r="P3133" s="15" t="s">
        <v>779</v>
      </c>
      <c r="Q3133" s="16">
        <v>7699</v>
      </c>
      <c r="R3133" s="17">
        <v>40</v>
      </c>
      <c r="S3133" s="18">
        <v>5312.3099999999995</v>
      </c>
      <c r="T3133" s="19" t="s">
        <v>36</v>
      </c>
      <c r="U3133" s="20" t="s">
        <v>37</v>
      </c>
      <c r="V3133" s="21" t="s">
        <v>38</v>
      </c>
      <c r="W3133" s="22">
        <v>1</v>
      </c>
      <c r="X3133" s="23"/>
    </row>
    <row r="3134" spans="1:24" s="1" customFormat="1" ht="108" customHeight="1" x14ac:dyDescent="0.3">
      <c r="A3134" s="11" t="s">
        <v>23</v>
      </c>
      <c r="B3134" s="11" t="s">
        <v>3465</v>
      </c>
      <c r="C3134" s="12" t="s">
        <v>3466</v>
      </c>
      <c r="D3134" s="25"/>
      <c r="E3134" s="39" t="str">
        <f>HYPERLINK("https://www.google.ru/search?q=1383356-025&amp;newwindow=1&amp;tbm=isch","Еще фото")</f>
        <v>Еще фото</v>
      </c>
      <c r="F3134" s="13"/>
      <c r="G3134" s="11" t="s">
        <v>3366</v>
      </c>
      <c r="H3134" s="11" t="s">
        <v>27</v>
      </c>
      <c r="I3134" s="14" t="s">
        <v>3366</v>
      </c>
      <c r="J3134" s="14" t="s">
        <v>29</v>
      </c>
      <c r="K3134" s="15" t="s">
        <v>30</v>
      </c>
      <c r="L3134" s="14" t="s">
        <v>3467</v>
      </c>
      <c r="M3134" s="14"/>
      <c r="N3134" s="14" t="s">
        <v>84</v>
      </c>
      <c r="O3134" s="14"/>
      <c r="P3134" s="15" t="s">
        <v>133</v>
      </c>
      <c r="Q3134" s="16">
        <v>3499</v>
      </c>
      <c r="R3134" s="17">
        <v>40</v>
      </c>
      <c r="S3134" s="18">
        <v>2414.31</v>
      </c>
      <c r="T3134" s="19" t="s">
        <v>36</v>
      </c>
      <c r="U3134" s="20" t="s">
        <v>37</v>
      </c>
      <c r="V3134" s="21" t="s">
        <v>38</v>
      </c>
      <c r="W3134" s="22">
        <v>1</v>
      </c>
      <c r="X3134" s="23"/>
    </row>
    <row r="3135" spans="1:24" s="1" customFormat="1" ht="35.1" customHeight="1" x14ac:dyDescent="0.3">
      <c r="A3135" s="11" t="s">
        <v>23</v>
      </c>
      <c r="B3135" s="11" t="s">
        <v>3468</v>
      </c>
      <c r="C3135" s="12" t="s">
        <v>3469</v>
      </c>
      <c r="D3135" s="53"/>
      <c r="E3135" s="39" t="str">
        <f>HYPERLINK("https://www.google.ru/search?q=1383356-870&amp;newwindow=1&amp;tbm=isch","Еще фото")</f>
        <v>Еще фото</v>
      </c>
      <c r="F3135" s="13"/>
      <c r="G3135" s="11" t="s">
        <v>3366</v>
      </c>
      <c r="H3135" s="11" t="s">
        <v>27</v>
      </c>
      <c r="I3135" s="14" t="s">
        <v>3366</v>
      </c>
      <c r="J3135" s="14" t="s">
        <v>29</v>
      </c>
      <c r="K3135" s="15" t="s">
        <v>30</v>
      </c>
      <c r="L3135" s="56"/>
      <c r="M3135" s="14"/>
      <c r="N3135" s="14" t="s">
        <v>434</v>
      </c>
      <c r="O3135" s="14"/>
      <c r="P3135" s="15" t="s">
        <v>51</v>
      </c>
      <c r="Q3135" s="16">
        <v>3499</v>
      </c>
      <c r="R3135" s="17">
        <v>40</v>
      </c>
      <c r="S3135" s="18">
        <v>2414.31</v>
      </c>
      <c r="T3135" s="19" t="s">
        <v>36</v>
      </c>
      <c r="U3135" s="20" t="s">
        <v>39</v>
      </c>
      <c r="V3135" s="21" t="s">
        <v>40</v>
      </c>
      <c r="W3135" s="22">
        <v>1</v>
      </c>
      <c r="X3135" s="23"/>
    </row>
    <row r="3136" spans="1:24" s="1" customFormat="1" ht="35.1" customHeight="1" x14ac:dyDescent="0.3">
      <c r="A3136" s="24" t="s">
        <v>23</v>
      </c>
      <c r="B3136" s="24" t="s">
        <v>3468</v>
      </c>
      <c r="C3136" s="12" t="s">
        <v>3469</v>
      </c>
      <c r="D3136" s="54"/>
      <c r="E3136" s="39" t="str">
        <f>HYPERLINK("https://www.google.ru/search?q=1383356-870&amp;newwindow=1&amp;tbm=isch","Еще фото")</f>
        <v>Еще фото</v>
      </c>
      <c r="F3136" s="13"/>
      <c r="G3136" s="24" t="s">
        <v>3366</v>
      </c>
      <c r="H3136" s="24" t="s">
        <v>27</v>
      </c>
      <c r="I3136" s="24" t="s">
        <v>3366</v>
      </c>
      <c r="J3136" s="14" t="s">
        <v>29</v>
      </c>
      <c r="K3136" s="15" t="s">
        <v>30</v>
      </c>
      <c r="L3136" s="57"/>
      <c r="M3136" s="14"/>
      <c r="N3136" s="14" t="s">
        <v>434</v>
      </c>
      <c r="O3136" s="14"/>
      <c r="P3136" s="15" t="s">
        <v>51</v>
      </c>
      <c r="Q3136" s="16">
        <v>3499</v>
      </c>
      <c r="R3136" s="17">
        <v>40</v>
      </c>
      <c r="S3136" s="18">
        <v>2414.31</v>
      </c>
      <c r="T3136" s="19" t="s">
        <v>36</v>
      </c>
      <c r="U3136" s="20" t="s">
        <v>41</v>
      </c>
      <c r="V3136" s="21" t="s">
        <v>42</v>
      </c>
      <c r="W3136" s="22">
        <v>3</v>
      </c>
      <c r="X3136" s="23"/>
    </row>
    <row r="3137" spans="1:24" s="1" customFormat="1" ht="36.950000000000003" customHeight="1" x14ac:dyDescent="0.3">
      <c r="A3137" s="24" t="s">
        <v>23</v>
      </c>
      <c r="B3137" s="24" t="s">
        <v>3468</v>
      </c>
      <c r="C3137" s="12" t="s">
        <v>3469</v>
      </c>
      <c r="D3137" s="55"/>
      <c r="E3137" s="39" t="str">
        <f>HYPERLINK("https://www.google.ru/search?q=1383356-870&amp;newwindow=1&amp;tbm=isch","Еще фото")</f>
        <v>Еще фото</v>
      </c>
      <c r="F3137" s="13"/>
      <c r="G3137" s="24" t="s">
        <v>3366</v>
      </c>
      <c r="H3137" s="24" t="s">
        <v>27</v>
      </c>
      <c r="I3137" s="24" t="s">
        <v>3366</v>
      </c>
      <c r="J3137" s="14" t="s">
        <v>29</v>
      </c>
      <c r="K3137" s="15" t="s">
        <v>30</v>
      </c>
      <c r="L3137" s="58"/>
      <c r="M3137" s="14"/>
      <c r="N3137" s="14" t="s">
        <v>434</v>
      </c>
      <c r="O3137" s="14"/>
      <c r="P3137" s="15" t="s">
        <v>51</v>
      </c>
      <c r="Q3137" s="16">
        <v>3499</v>
      </c>
      <c r="R3137" s="17">
        <v>40</v>
      </c>
      <c r="S3137" s="18">
        <v>2414.31</v>
      </c>
      <c r="T3137" s="19" t="s">
        <v>36</v>
      </c>
      <c r="U3137" s="20" t="s">
        <v>43</v>
      </c>
      <c r="V3137" s="21" t="s">
        <v>44</v>
      </c>
      <c r="W3137" s="22">
        <v>1</v>
      </c>
      <c r="X3137" s="23"/>
    </row>
    <row r="3138" spans="1:24" s="1" customFormat="1" ht="108" customHeight="1" x14ac:dyDescent="0.3">
      <c r="A3138" s="11" t="s">
        <v>23</v>
      </c>
      <c r="B3138" s="11" t="s">
        <v>3470</v>
      </c>
      <c r="C3138" s="12" t="s">
        <v>3471</v>
      </c>
      <c r="D3138" s="25"/>
      <c r="E3138" s="39" t="str">
        <f>HYPERLINK("https://www.google.ru/search?q=1383418-001&amp;newwindow=1&amp;tbm=isch","Еще фото")</f>
        <v>Еще фото</v>
      </c>
      <c r="F3138" s="13"/>
      <c r="G3138" s="11" t="s">
        <v>3366</v>
      </c>
      <c r="H3138" s="11" t="s">
        <v>27</v>
      </c>
      <c r="I3138" s="14" t="s">
        <v>3366</v>
      </c>
      <c r="J3138" s="14" t="s">
        <v>29</v>
      </c>
      <c r="K3138" s="15" t="s">
        <v>64</v>
      </c>
      <c r="L3138" s="14" t="s">
        <v>3472</v>
      </c>
      <c r="M3138" s="14"/>
      <c r="N3138" s="14" t="s">
        <v>33</v>
      </c>
      <c r="O3138" s="14"/>
      <c r="P3138" s="15" t="s">
        <v>178</v>
      </c>
      <c r="Q3138" s="16">
        <v>5299</v>
      </c>
      <c r="R3138" s="17">
        <v>40</v>
      </c>
      <c r="S3138" s="18">
        <v>3656.31</v>
      </c>
      <c r="T3138" s="19" t="s">
        <v>36</v>
      </c>
      <c r="U3138" s="20" t="s">
        <v>41</v>
      </c>
      <c r="V3138" s="21" t="s">
        <v>40</v>
      </c>
      <c r="W3138" s="22">
        <v>1</v>
      </c>
      <c r="X3138" s="23"/>
    </row>
    <row r="3139" spans="1:24" s="1" customFormat="1" ht="35.1" customHeight="1" x14ac:dyDescent="0.3">
      <c r="A3139" s="11" t="s">
        <v>23</v>
      </c>
      <c r="B3139" s="11" t="s">
        <v>3473</v>
      </c>
      <c r="C3139" s="12" t="s">
        <v>3474</v>
      </c>
      <c r="D3139" s="53"/>
      <c r="E3139" s="39" t="str">
        <f>HYPERLINK("https://www.google.ru/search?q=1384203-810&amp;newwindow=1&amp;tbm=isch","Еще фото")</f>
        <v>Еще фото</v>
      </c>
      <c r="F3139" s="13"/>
      <c r="G3139" s="11" t="s">
        <v>3366</v>
      </c>
      <c r="H3139" s="11" t="s">
        <v>27</v>
      </c>
      <c r="I3139" s="14" t="s">
        <v>3366</v>
      </c>
      <c r="J3139" s="14" t="s">
        <v>29</v>
      </c>
      <c r="K3139" s="15" t="s">
        <v>30</v>
      </c>
      <c r="L3139" s="56" t="s">
        <v>3475</v>
      </c>
      <c r="M3139" s="14"/>
      <c r="N3139" s="14" t="s">
        <v>434</v>
      </c>
      <c r="O3139" s="14"/>
      <c r="P3139" s="15" t="s">
        <v>779</v>
      </c>
      <c r="Q3139" s="16">
        <v>11399</v>
      </c>
      <c r="R3139" s="17">
        <v>40</v>
      </c>
      <c r="S3139" s="18">
        <v>7865.3099999999986</v>
      </c>
      <c r="T3139" s="19" t="s">
        <v>36</v>
      </c>
      <c r="U3139" s="20" t="s">
        <v>39</v>
      </c>
      <c r="V3139" s="21" t="s">
        <v>40</v>
      </c>
      <c r="W3139" s="22">
        <v>5</v>
      </c>
      <c r="X3139" s="23"/>
    </row>
    <row r="3140" spans="1:24" s="1" customFormat="1" ht="35.1" customHeight="1" x14ac:dyDescent="0.3">
      <c r="A3140" s="24" t="s">
        <v>23</v>
      </c>
      <c r="B3140" s="24" t="s">
        <v>3473</v>
      </c>
      <c r="C3140" s="12" t="s">
        <v>3474</v>
      </c>
      <c r="D3140" s="54"/>
      <c r="E3140" s="39" t="str">
        <f>HYPERLINK("https://www.google.ru/search?q=1384203-810&amp;newwindow=1&amp;tbm=isch","Еще фото")</f>
        <v>Еще фото</v>
      </c>
      <c r="F3140" s="13"/>
      <c r="G3140" s="24" t="s">
        <v>3366</v>
      </c>
      <c r="H3140" s="24" t="s">
        <v>27</v>
      </c>
      <c r="I3140" s="24" t="s">
        <v>3366</v>
      </c>
      <c r="J3140" s="14" t="s">
        <v>29</v>
      </c>
      <c r="K3140" s="15" t="s">
        <v>30</v>
      </c>
      <c r="L3140" s="57"/>
      <c r="M3140" s="14"/>
      <c r="N3140" s="14" t="s">
        <v>434</v>
      </c>
      <c r="O3140" s="14"/>
      <c r="P3140" s="15" t="s">
        <v>779</v>
      </c>
      <c r="Q3140" s="16">
        <v>11399</v>
      </c>
      <c r="R3140" s="17">
        <v>40</v>
      </c>
      <c r="S3140" s="18">
        <v>7865.3099999999986</v>
      </c>
      <c r="T3140" s="19" t="s">
        <v>36</v>
      </c>
      <c r="U3140" s="20" t="s">
        <v>41</v>
      </c>
      <c r="V3140" s="21" t="s">
        <v>42</v>
      </c>
      <c r="W3140" s="22">
        <v>2</v>
      </c>
      <c r="X3140" s="23"/>
    </row>
    <row r="3141" spans="1:24" s="1" customFormat="1" ht="36.950000000000003" customHeight="1" x14ac:dyDescent="0.3">
      <c r="A3141" s="24" t="s">
        <v>23</v>
      </c>
      <c r="B3141" s="24" t="s">
        <v>3473</v>
      </c>
      <c r="C3141" s="12" t="s">
        <v>3474</v>
      </c>
      <c r="D3141" s="55"/>
      <c r="E3141" s="39" t="str">
        <f>HYPERLINK("https://www.google.ru/search?q=1384203-810&amp;newwindow=1&amp;tbm=isch","Еще фото")</f>
        <v>Еще фото</v>
      </c>
      <c r="F3141" s="13"/>
      <c r="G3141" s="24" t="s">
        <v>3366</v>
      </c>
      <c r="H3141" s="24" t="s">
        <v>27</v>
      </c>
      <c r="I3141" s="24" t="s">
        <v>3366</v>
      </c>
      <c r="J3141" s="14" t="s">
        <v>29</v>
      </c>
      <c r="K3141" s="15" t="s">
        <v>30</v>
      </c>
      <c r="L3141" s="58"/>
      <c r="M3141" s="14"/>
      <c r="N3141" s="14" t="s">
        <v>434</v>
      </c>
      <c r="O3141" s="14"/>
      <c r="P3141" s="15" t="s">
        <v>779</v>
      </c>
      <c r="Q3141" s="16">
        <v>11399</v>
      </c>
      <c r="R3141" s="17">
        <v>40</v>
      </c>
      <c r="S3141" s="18">
        <v>7865.3099999999986</v>
      </c>
      <c r="T3141" s="19" t="s">
        <v>36</v>
      </c>
      <c r="U3141" s="20" t="s">
        <v>104</v>
      </c>
      <c r="V3141" s="21" t="s">
        <v>105</v>
      </c>
      <c r="W3141" s="22">
        <v>1</v>
      </c>
      <c r="X3141" s="23"/>
    </row>
    <row r="3142" spans="1:24" s="1" customFormat="1" ht="35.1" customHeight="1" x14ac:dyDescent="0.3">
      <c r="A3142" s="11" t="s">
        <v>23</v>
      </c>
      <c r="B3142" s="11" t="s">
        <v>3476</v>
      </c>
      <c r="C3142" s="12" t="s">
        <v>3477</v>
      </c>
      <c r="D3142" s="53"/>
      <c r="E3142" s="39" t="str">
        <f>HYPERLINK("https://www.google.ru/search?q=1384217-410&amp;newwindow=1&amp;tbm=isch","Еще фото")</f>
        <v>Еще фото</v>
      </c>
      <c r="F3142" s="13"/>
      <c r="G3142" s="11" t="s">
        <v>3366</v>
      </c>
      <c r="H3142" s="11" t="s">
        <v>27</v>
      </c>
      <c r="I3142" s="14" t="s">
        <v>3366</v>
      </c>
      <c r="J3142" s="14" t="s">
        <v>29</v>
      </c>
      <c r="K3142" s="15" t="s">
        <v>30</v>
      </c>
      <c r="L3142" s="56" t="s">
        <v>3478</v>
      </c>
      <c r="M3142" s="14"/>
      <c r="N3142" s="14" t="s">
        <v>91</v>
      </c>
      <c r="O3142" s="14"/>
      <c r="P3142" s="15" t="s">
        <v>779</v>
      </c>
      <c r="Q3142" s="16">
        <v>12099</v>
      </c>
      <c r="R3142" s="17">
        <v>40</v>
      </c>
      <c r="S3142" s="18">
        <v>8348.31</v>
      </c>
      <c r="T3142" s="19" t="s">
        <v>36</v>
      </c>
      <c r="U3142" s="20" t="s">
        <v>69</v>
      </c>
      <c r="V3142" s="21" t="s">
        <v>75</v>
      </c>
      <c r="W3142" s="22">
        <v>1</v>
      </c>
      <c r="X3142" s="23"/>
    </row>
    <row r="3143" spans="1:24" s="1" customFormat="1" ht="35.1" customHeight="1" x14ac:dyDescent="0.3">
      <c r="A3143" s="24" t="s">
        <v>23</v>
      </c>
      <c r="B3143" s="24" t="s">
        <v>3476</v>
      </c>
      <c r="C3143" s="12" t="s">
        <v>3477</v>
      </c>
      <c r="D3143" s="54"/>
      <c r="E3143" s="39" t="str">
        <f>HYPERLINK("https://www.google.ru/search?q=1384217-410&amp;newwindow=1&amp;tbm=isch","Еще фото")</f>
        <v>Еще фото</v>
      </c>
      <c r="F3143" s="13"/>
      <c r="G3143" s="24" t="s">
        <v>3366</v>
      </c>
      <c r="H3143" s="24" t="s">
        <v>27</v>
      </c>
      <c r="I3143" s="24" t="s">
        <v>3366</v>
      </c>
      <c r="J3143" s="14" t="s">
        <v>29</v>
      </c>
      <c r="K3143" s="15" t="s">
        <v>30</v>
      </c>
      <c r="L3143" s="57"/>
      <c r="M3143" s="14"/>
      <c r="N3143" s="14" t="s">
        <v>91</v>
      </c>
      <c r="O3143" s="14"/>
      <c r="P3143" s="15" t="s">
        <v>779</v>
      </c>
      <c r="Q3143" s="16">
        <v>12099</v>
      </c>
      <c r="R3143" s="17">
        <v>40</v>
      </c>
      <c r="S3143" s="18">
        <v>8348.31</v>
      </c>
      <c r="T3143" s="19" t="s">
        <v>36</v>
      </c>
      <c r="U3143" s="20" t="s">
        <v>37</v>
      </c>
      <c r="V3143" s="21" t="s">
        <v>38</v>
      </c>
      <c r="W3143" s="22">
        <v>4</v>
      </c>
      <c r="X3143" s="23"/>
    </row>
    <row r="3144" spans="1:24" s="1" customFormat="1" ht="36.950000000000003" customHeight="1" x14ac:dyDescent="0.3">
      <c r="A3144" s="24" t="s">
        <v>23</v>
      </c>
      <c r="B3144" s="24" t="s">
        <v>3476</v>
      </c>
      <c r="C3144" s="12" t="s">
        <v>3477</v>
      </c>
      <c r="D3144" s="55"/>
      <c r="E3144" s="39" t="str">
        <f>HYPERLINK("https://www.google.ru/search?q=1384217-410&amp;newwindow=1&amp;tbm=isch","Еще фото")</f>
        <v>Еще фото</v>
      </c>
      <c r="F3144" s="13"/>
      <c r="G3144" s="24" t="s">
        <v>3366</v>
      </c>
      <c r="H3144" s="24" t="s">
        <v>27</v>
      </c>
      <c r="I3144" s="24" t="s">
        <v>3366</v>
      </c>
      <c r="J3144" s="14" t="s">
        <v>29</v>
      </c>
      <c r="K3144" s="15" t="s">
        <v>30</v>
      </c>
      <c r="L3144" s="58"/>
      <c r="M3144" s="14"/>
      <c r="N3144" s="14" t="s">
        <v>91</v>
      </c>
      <c r="O3144" s="14"/>
      <c r="P3144" s="15" t="s">
        <v>779</v>
      </c>
      <c r="Q3144" s="16">
        <v>12099</v>
      </c>
      <c r="R3144" s="17">
        <v>40</v>
      </c>
      <c r="S3144" s="18">
        <v>8348.31</v>
      </c>
      <c r="T3144" s="19" t="s">
        <v>36</v>
      </c>
      <c r="U3144" s="20" t="s">
        <v>104</v>
      </c>
      <c r="V3144" s="21" t="s">
        <v>105</v>
      </c>
      <c r="W3144" s="22">
        <v>2</v>
      </c>
      <c r="X3144" s="23"/>
    </row>
    <row r="3145" spans="1:24" s="1" customFormat="1" ht="51.95" customHeight="1" x14ac:dyDescent="0.3">
      <c r="A3145" s="11" t="s">
        <v>23</v>
      </c>
      <c r="B3145" s="11" t="s">
        <v>3476</v>
      </c>
      <c r="C3145" s="12" t="s">
        <v>3479</v>
      </c>
      <c r="D3145" s="59"/>
      <c r="E3145" s="39" t="str">
        <f>HYPERLINK("https://www.google.ru/search?q=1384217-505&amp;newwindow=1&amp;tbm=isch","Еще фото")</f>
        <v>Еще фото</v>
      </c>
      <c r="F3145" s="13"/>
      <c r="G3145" s="11" t="s">
        <v>3366</v>
      </c>
      <c r="H3145" s="11" t="s">
        <v>27</v>
      </c>
      <c r="I3145" s="14" t="s">
        <v>3366</v>
      </c>
      <c r="J3145" s="14" t="s">
        <v>29</v>
      </c>
      <c r="K3145" s="15" t="s">
        <v>30</v>
      </c>
      <c r="L3145" s="56" t="s">
        <v>3478</v>
      </c>
      <c r="M3145" s="14"/>
      <c r="N3145" s="14" t="s">
        <v>67</v>
      </c>
      <c r="O3145" s="14"/>
      <c r="P3145" s="15" t="s">
        <v>779</v>
      </c>
      <c r="Q3145" s="16">
        <v>12099</v>
      </c>
      <c r="R3145" s="17">
        <v>40</v>
      </c>
      <c r="S3145" s="18">
        <v>8348.31</v>
      </c>
      <c r="T3145" s="19" t="s">
        <v>36</v>
      </c>
      <c r="U3145" s="20" t="s">
        <v>37</v>
      </c>
      <c r="V3145" s="21" t="s">
        <v>38</v>
      </c>
      <c r="W3145" s="22">
        <v>1</v>
      </c>
      <c r="X3145" s="23"/>
    </row>
    <row r="3146" spans="1:24" s="1" customFormat="1" ht="60.95" customHeight="1" x14ac:dyDescent="0.3">
      <c r="A3146" s="24" t="s">
        <v>23</v>
      </c>
      <c r="B3146" s="24" t="s">
        <v>3476</v>
      </c>
      <c r="C3146" s="12" t="s">
        <v>3479</v>
      </c>
      <c r="D3146" s="60"/>
      <c r="E3146" s="39" t="str">
        <f>HYPERLINK("https://www.google.ru/search?q=1384217-505&amp;newwindow=1&amp;tbm=isch","Еще фото")</f>
        <v>Еще фото</v>
      </c>
      <c r="F3146" s="13"/>
      <c r="G3146" s="24" t="s">
        <v>3366</v>
      </c>
      <c r="H3146" s="24" t="s">
        <v>27</v>
      </c>
      <c r="I3146" s="24" t="s">
        <v>3366</v>
      </c>
      <c r="J3146" s="14" t="s">
        <v>29</v>
      </c>
      <c r="K3146" s="15" t="s">
        <v>30</v>
      </c>
      <c r="L3146" s="58"/>
      <c r="M3146" s="14"/>
      <c r="N3146" s="14" t="s">
        <v>67</v>
      </c>
      <c r="O3146" s="14"/>
      <c r="P3146" s="15" t="s">
        <v>779</v>
      </c>
      <c r="Q3146" s="16">
        <v>12099</v>
      </c>
      <c r="R3146" s="17">
        <v>40</v>
      </c>
      <c r="S3146" s="18">
        <v>8348.31</v>
      </c>
      <c r="T3146" s="19" t="s">
        <v>36</v>
      </c>
      <c r="U3146" s="20" t="s">
        <v>39</v>
      </c>
      <c r="V3146" s="21" t="s">
        <v>40</v>
      </c>
      <c r="W3146" s="22">
        <v>4</v>
      </c>
      <c r="X3146" s="23"/>
    </row>
    <row r="3147" spans="1:24" s="1" customFormat="1" ht="108" customHeight="1" x14ac:dyDescent="0.3">
      <c r="A3147" s="11" t="s">
        <v>23</v>
      </c>
      <c r="B3147" s="11" t="s">
        <v>3480</v>
      </c>
      <c r="C3147" s="12" t="s">
        <v>3481</v>
      </c>
      <c r="D3147" s="25"/>
      <c r="E3147" s="39" t="str">
        <f>HYPERLINK("https://www.google.ru/search?q=1386560-289&amp;newwindow=1&amp;tbm=isch","Еще фото")</f>
        <v>Еще фото</v>
      </c>
      <c r="F3147" s="13"/>
      <c r="G3147" s="11" t="s">
        <v>3366</v>
      </c>
      <c r="H3147" s="11" t="s">
        <v>27</v>
      </c>
      <c r="I3147" s="14" t="s">
        <v>3366</v>
      </c>
      <c r="J3147" s="14" t="s">
        <v>47</v>
      </c>
      <c r="K3147" s="15" t="s">
        <v>30</v>
      </c>
      <c r="L3147" s="14" t="s">
        <v>3482</v>
      </c>
      <c r="M3147" s="14" t="s">
        <v>32</v>
      </c>
      <c r="N3147" s="14" t="s">
        <v>125</v>
      </c>
      <c r="O3147" s="14"/>
      <c r="P3147" s="15" t="s">
        <v>279</v>
      </c>
      <c r="Q3147" s="16">
        <v>6499</v>
      </c>
      <c r="R3147" s="17">
        <v>40</v>
      </c>
      <c r="S3147" s="18">
        <v>4484.3099999999995</v>
      </c>
      <c r="T3147" s="19" t="s">
        <v>36</v>
      </c>
      <c r="U3147" s="20" t="s">
        <v>39</v>
      </c>
      <c r="V3147" s="21" t="s">
        <v>40</v>
      </c>
      <c r="W3147" s="22">
        <v>3</v>
      </c>
      <c r="X3147" s="23"/>
    </row>
    <row r="3148" spans="1:24" s="1" customFormat="1" ht="108" customHeight="1" x14ac:dyDescent="0.3">
      <c r="A3148" s="11" t="s">
        <v>23</v>
      </c>
      <c r="B3148" s="11" t="s">
        <v>3483</v>
      </c>
      <c r="C3148" s="12" t="s">
        <v>3484</v>
      </c>
      <c r="D3148" s="25"/>
      <c r="E3148" s="39" t="str">
        <f>HYPERLINK("https://www.google.ru/search?q=1389171-001&amp;newwindow=1&amp;tbm=isch","Еще фото")</f>
        <v>Еще фото</v>
      </c>
      <c r="F3148" s="13"/>
      <c r="G3148" s="11" t="s">
        <v>3366</v>
      </c>
      <c r="H3148" s="11" t="s">
        <v>27</v>
      </c>
      <c r="I3148" s="14" t="s">
        <v>3366</v>
      </c>
      <c r="J3148" s="14" t="s">
        <v>29</v>
      </c>
      <c r="K3148" s="15" t="s">
        <v>54</v>
      </c>
      <c r="L3148" s="14" t="s">
        <v>3485</v>
      </c>
      <c r="M3148" s="14"/>
      <c r="N3148" s="14" t="s">
        <v>33</v>
      </c>
      <c r="O3148" s="14"/>
      <c r="P3148" s="15" t="s">
        <v>51</v>
      </c>
      <c r="Q3148" s="16">
        <v>2799</v>
      </c>
      <c r="R3148" s="17">
        <v>40</v>
      </c>
      <c r="S3148" s="18">
        <v>1931.31</v>
      </c>
      <c r="T3148" s="19" t="s">
        <v>36</v>
      </c>
      <c r="U3148" s="20" t="s">
        <v>126</v>
      </c>
      <c r="V3148" s="21" t="s">
        <v>127</v>
      </c>
      <c r="W3148" s="22">
        <v>1</v>
      </c>
      <c r="X3148" s="23"/>
    </row>
    <row r="3149" spans="1:24" s="1" customFormat="1" ht="51.95" customHeight="1" x14ac:dyDescent="0.3">
      <c r="A3149" s="11" t="s">
        <v>23</v>
      </c>
      <c r="B3149" s="11" t="s">
        <v>3483</v>
      </c>
      <c r="C3149" s="12" t="s">
        <v>3486</v>
      </c>
      <c r="D3149" s="59"/>
      <c r="E3149" s="39" t="str">
        <f>HYPERLINK("https://www.google.ru/search?q=1389171-203&amp;newwindow=1&amp;tbm=isch","Еще фото")</f>
        <v>Еще фото</v>
      </c>
      <c r="F3149" s="13"/>
      <c r="G3149" s="11" t="s">
        <v>3366</v>
      </c>
      <c r="H3149" s="11" t="s">
        <v>27</v>
      </c>
      <c r="I3149" s="14" t="s">
        <v>3366</v>
      </c>
      <c r="J3149" s="14" t="s">
        <v>29</v>
      </c>
      <c r="K3149" s="15" t="s">
        <v>54</v>
      </c>
      <c r="L3149" s="56" t="s">
        <v>3485</v>
      </c>
      <c r="M3149" s="14"/>
      <c r="N3149" s="14" t="s">
        <v>215</v>
      </c>
      <c r="O3149" s="14"/>
      <c r="P3149" s="15" t="s">
        <v>133</v>
      </c>
      <c r="Q3149" s="16">
        <v>2799</v>
      </c>
      <c r="R3149" s="17">
        <v>40</v>
      </c>
      <c r="S3149" s="18">
        <v>1931.31</v>
      </c>
      <c r="T3149" s="19" t="s">
        <v>36</v>
      </c>
      <c r="U3149" s="20" t="s">
        <v>114</v>
      </c>
      <c r="V3149" s="21" t="s">
        <v>115</v>
      </c>
      <c r="W3149" s="22">
        <v>4</v>
      </c>
      <c r="X3149" s="23"/>
    </row>
    <row r="3150" spans="1:24" s="1" customFormat="1" ht="60.95" customHeight="1" x14ac:dyDescent="0.3">
      <c r="A3150" s="24" t="s">
        <v>23</v>
      </c>
      <c r="B3150" s="24" t="s">
        <v>3483</v>
      </c>
      <c r="C3150" s="12" t="s">
        <v>3486</v>
      </c>
      <c r="D3150" s="60"/>
      <c r="E3150" s="39" t="str">
        <f>HYPERLINK("https://www.google.ru/search?q=1389171-203&amp;newwindow=1&amp;tbm=isch","Еще фото")</f>
        <v>Еще фото</v>
      </c>
      <c r="F3150" s="13"/>
      <c r="G3150" s="24" t="s">
        <v>3366</v>
      </c>
      <c r="H3150" s="24" t="s">
        <v>27</v>
      </c>
      <c r="I3150" s="24" t="s">
        <v>3366</v>
      </c>
      <c r="J3150" s="14" t="s">
        <v>29</v>
      </c>
      <c r="K3150" s="15" t="s">
        <v>54</v>
      </c>
      <c r="L3150" s="58"/>
      <c r="M3150" s="14"/>
      <c r="N3150" s="14" t="s">
        <v>215</v>
      </c>
      <c r="O3150" s="14"/>
      <c r="P3150" s="15" t="s">
        <v>133</v>
      </c>
      <c r="Q3150" s="16">
        <v>2799</v>
      </c>
      <c r="R3150" s="17">
        <v>40</v>
      </c>
      <c r="S3150" s="18">
        <v>1931.31</v>
      </c>
      <c r="T3150" s="19" t="s">
        <v>36</v>
      </c>
      <c r="U3150" s="20" t="s">
        <v>126</v>
      </c>
      <c r="V3150" s="21" t="s">
        <v>127</v>
      </c>
      <c r="W3150" s="22">
        <v>5</v>
      </c>
      <c r="X3150" s="23"/>
    </row>
    <row r="3151" spans="1:24" s="1" customFormat="1" ht="21" customHeight="1" x14ac:dyDescent="0.3">
      <c r="A3151" s="11" t="s">
        <v>23</v>
      </c>
      <c r="B3151" s="11" t="s">
        <v>3483</v>
      </c>
      <c r="C3151" s="26" t="s">
        <v>3487</v>
      </c>
      <c r="D3151" s="53"/>
      <c r="E3151" s="39" t="str">
        <f>HYPERLINK("https://www.google.ru/search?q=1389171-425&amp;newwindow=1&amp;tbm=isch","Еще фото")</f>
        <v>Еще фото</v>
      </c>
      <c r="F3151" s="13"/>
      <c r="G3151" s="11" t="s">
        <v>3366</v>
      </c>
      <c r="H3151" s="11" t="s">
        <v>27</v>
      </c>
      <c r="I3151" s="14" t="s">
        <v>3366</v>
      </c>
      <c r="J3151" s="14" t="s">
        <v>29</v>
      </c>
      <c r="K3151" s="15" t="s">
        <v>54</v>
      </c>
      <c r="L3151" s="56"/>
      <c r="M3151" s="14"/>
      <c r="N3151" s="14" t="s">
        <v>50</v>
      </c>
      <c r="O3151" s="14"/>
      <c r="P3151" s="15" t="s">
        <v>51</v>
      </c>
      <c r="Q3151" s="16">
        <v>2799</v>
      </c>
      <c r="R3151" s="17">
        <v>40</v>
      </c>
      <c r="S3151" s="18">
        <v>1931.31</v>
      </c>
      <c r="T3151" s="19" t="s">
        <v>36</v>
      </c>
      <c r="U3151" s="20" t="s">
        <v>114</v>
      </c>
      <c r="V3151" s="21" t="s">
        <v>115</v>
      </c>
      <c r="W3151" s="22">
        <v>6</v>
      </c>
      <c r="X3151" s="23"/>
    </row>
    <row r="3152" spans="1:24" s="1" customFormat="1" ht="21" customHeight="1" x14ac:dyDescent="0.3">
      <c r="A3152" s="24" t="s">
        <v>23</v>
      </c>
      <c r="B3152" s="24" t="s">
        <v>3483</v>
      </c>
      <c r="C3152" s="27" t="s">
        <v>3487</v>
      </c>
      <c r="D3152" s="54"/>
      <c r="E3152" s="39" t="str">
        <f>HYPERLINK("https://www.google.ru/search?q=1389171-425&amp;newwindow=1&amp;tbm=isch","Еще фото")</f>
        <v>Еще фото</v>
      </c>
      <c r="F3152" s="13"/>
      <c r="G3152" s="24" t="s">
        <v>3366</v>
      </c>
      <c r="H3152" s="24" t="s">
        <v>27</v>
      </c>
      <c r="I3152" s="24" t="s">
        <v>3366</v>
      </c>
      <c r="J3152" s="14" t="s">
        <v>29</v>
      </c>
      <c r="K3152" s="15" t="s">
        <v>54</v>
      </c>
      <c r="L3152" s="57"/>
      <c r="M3152" s="14"/>
      <c r="N3152" s="14" t="s">
        <v>50</v>
      </c>
      <c r="O3152" s="14"/>
      <c r="P3152" s="15" t="s">
        <v>51</v>
      </c>
      <c r="Q3152" s="16">
        <v>2799</v>
      </c>
      <c r="R3152" s="17">
        <v>40</v>
      </c>
      <c r="S3152" s="18">
        <v>1931.31</v>
      </c>
      <c r="T3152" s="19" t="s">
        <v>36</v>
      </c>
      <c r="U3152" s="20" t="s">
        <v>126</v>
      </c>
      <c r="V3152" s="21" t="s">
        <v>127</v>
      </c>
      <c r="W3152" s="22">
        <v>7</v>
      </c>
      <c r="X3152" s="23"/>
    </row>
    <row r="3153" spans="1:24" s="1" customFormat="1" ht="21" customHeight="1" x14ac:dyDescent="0.3">
      <c r="A3153" s="24" t="s">
        <v>23</v>
      </c>
      <c r="B3153" s="24" t="s">
        <v>3483</v>
      </c>
      <c r="C3153" s="27" t="s">
        <v>3487</v>
      </c>
      <c r="D3153" s="54"/>
      <c r="E3153" s="39" t="str">
        <f>HYPERLINK("https://www.google.ru/search?q=1389171-425&amp;newwindow=1&amp;tbm=isch","Еще фото")</f>
        <v>Еще фото</v>
      </c>
      <c r="F3153" s="13"/>
      <c r="G3153" s="24" t="s">
        <v>3366</v>
      </c>
      <c r="H3153" s="24" t="s">
        <v>27</v>
      </c>
      <c r="I3153" s="24" t="s">
        <v>3366</v>
      </c>
      <c r="J3153" s="14" t="s">
        <v>29</v>
      </c>
      <c r="K3153" s="15" t="s">
        <v>54</v>
      </c>
      <c r="L3153" s="57"/>
      <c r="M3153" s="14"/>
      <c r="N3153" s="14" t="s">
        <v>50</v>
      </c>
      <c r="O3153" s="14"/>
      <c r="P3153" s="15" t="s">
        <v>51</v>
      </c>
      <c r="Q3153" s="16">
        <v>2799</v>
      </c>
      <c r="R3153" s="17">
        <v>40</v>
      </c>
      <c r="S3153" s="18">
        <v>1931.31</v>
      </c>
      <c r="T3153" s="19" t="s">
        <v>36</v>
      </c>
      <c r="U3153" s="20" t="s">
        <v>128</v>
      </c>
      <c r="V3153" s="21" t="s">
        <v>129</v>
      </c>
      <c r="W3153" s="22">
        <v>6</v>
      </c>
      <c r="X3153" s="23"/>
    </row>
    <row r="3154" spans="1:24" s="1" customFormat="1" ht="21" customHeight="1" x14ac:dyDescent="0.3">
      <c r="A3154" s="24" t="s">
        <v>23</v>
      </c>
      <c r="B3154" s="24" t="s">
        <v>3483</v>
      </c>
      <c r="C3154" s="27" t="s">
        <v>3487</v>
      </c>
      <c r="D3154" s="54"/>
      <c r="E3154" s="39" t="str">
        <f>HYPERLINK("https://www.google.ru/search?q=1389171-425&amp;newwindow=1&amp;tbm=isch","Еще фото")</f>
        <v>Еще фото</v>
      </c>
      <c r="F3154" s="13"/>
      <c r="G3154" s="24" t="s">
        <v>3366</v>
      </c>
      <c r="H3154" s="24" t="s">
        <v>27</v>
      </c>
      <c r="I3154" s="24" t="s">
        <v>3366</v>
      </c>
      <c r="J3154" s="14" t="s">
        <v>29</v>
      </c>
      <c r="K3154" s="15" t="s">
        <v>54</v>
      </c>
      <c r="L3154" s="57"/>
      <c r="M3154" s="14"/>
      <c r="N3154" s="14" t="s">
        <v>50</v>
      </c>
      <c r="O3154" s="14"/>
      <c r="P3154" s="15" t="s">
        <v>51</v>
      </c>
      <c r="Q3154" s="16">
        <v>2799</v>
      </c>
      <c r="R3154" s="17">
        <v>40</v>
      </c>
      <c r="S3154" s="18">
        <v>1931.31</v>
      </c>
      <c r="T3154" s="19" t="s">
        <v>36</v>
      </c>
      <c r="U3154" s="20" t="s">
        <v>59</v>
      </c>
      <c r="V3154" s="21" t="s">
        <v>60</v>
      </c>
      <c r="W3154" s="22">
        <v>12</v>
      </c>
      <c r="X3154" s="23"/>
    </row>
    <row r="3155" spans="1:24" s="1" customFormat="1" ht="32.1" customHeight="1" x14ac:dyDescent="0.3">
      <c r="A3155" s="24" t="s">
        <v>23</v>
      </c>
      <c r="B3155" s="24" t="s">
        <v>3483</v>
      </c>
      <c r="C3155" s="27" t="s">
        <v>3487</v>
      </c>
      <c r="D3155" s="55"/>
      <c r="E3155" s="39" t="str">
        <f>HYPERLINK("https://www.google.ru/search?q=1389171-425&amp;newwindow=1&amp;tbm=isch","Еще фото")</f>
        <v>Еще фото</v>
      </c>
      <c r="F3155" s="13"/>
      <c r="G3155" s="24" t="s">
        <v>3366</v>
      </c>
      <c r="H3155" s="24" t="s">
        <v>27</v>
      </c>
      <c r="I3155" s="24" t="s">
        <v>3366</v>
      </c>
      <c r="J3155" s="14" t="s">
        <v>29</v>
      </c>
      <c r="K3155" s="15" t="s">
        <v>54</v>
      </c>
      <c r="L3155" s="58"/>
      <c r="M3155" s="14"/>
      <c r="N3155" s="14" t="s">
        <v>50</v>
      </c>
      <c r="O3155" s="14"/>
      <c r="P3155" s="15" t="s">
        <v>51</v>
      </c>
      <c r="Q3155" s="16">
        <v>2799</v>
      </c>
      <c r="R3155" s="17">
        <v>40</v>
      </c>
      <c r="S3155" s="18">
        <v>1931.31</v>
      </c>
      <c r="T3155" s="19" t="s">
        <v>36</v>
      </c>
      <c r="U3155" s="20" t="s">
        <v>130</v>
      </c>
      <c r="V3155" s="21" t="s">
        <v>131</v>
      </c>
      <c r="W3155" s="22">
        <v>4</v>
      </c>
      <c r="X3155" s="23"/>
    </row>
    <row r="3156" spans="1:24" s="1" customFormat="1" ht="35.1" customHeight="1" x14ac:dyDescent="0.3">
      <c r="A3156" s="11" t="s">
        <v>23</v>
      </c>
      <c r="B3156" s="11" t="s">
        <v>3483</v>
      </c>
      <c r="C3156" s="12" t="s">
        <v>3488</v>
      </c>
      <c r="D3156" s="53"/>
      <c r="E3156" s="39" t="str">
        <f>HYPERLINK("https://www.google.ru/search?q=1389171-498&amp;newwindow=1&amp;tbm=isch","Еще фото")</f>
        <v>Еще фото</v>
      </c>
      <c r="F3156" s="13"/>
      <c r="G3156" s="11" t="s">
        <v>3366</v>
      </c>
      <c r="H3156" s="11" t="s">
        <v>27</v>
      </c>
      <c r="I3156" s="14" t="s">
        <v>3366</v>
      </c>
      <c r="J3156" s="14" t="s">
        <v>29</v>
      </c>
      <c r="K3156" s="15" t="s">
        <v>54</v>
      </c>
      <c r="L3156" s="56" t="s">
        <v>3485</v>
      </c>
      <c r="M3156" s="14"/>
      <c r="N3156" s="14" t="s">
        <v>91</v>
      </c>
      <c r="O3156" s="14"/>
      <c r="P3156" s="15" t="s">
        <v>51</v>
      </c>
      <c r="Q3156" s="16">
        <v>2799</v>
      </c>
      <c r="R3156" s="17">
        <v>40</v>
      </c>
      <c r="S3156" s="18">
        <v>1931.31</v>
      </c>
      <c r="T3156" s="19" t="s">
        <v>36</v>
      </c>
      <c r="U3156" s="20" t="s">
        <v>114</v>
      </c>
      <c r="V3156" s="21" t="s">
        <v>115</v>
      </c>
      <c r="W3156" s="22">
        <v>3</v>
      </c>
      <c r="X3156" s="23"/>
    </row>
    <row r="3157" spans="1:24" s="1" customFormat="1" ht="35.1" customHeight="1" x14ac:dyDescent="0.3">
      <c r="A3157" s="24" t="s">
        <v>23</v>
      </c>
      <c r="B3157" s="24" t="s">
        <v>3483</v>
      </c>
      <c r="C3157" s="12" t="s">
        <v>3488</v>
      </c>
      <c r="D3157" s="54"/>
      <c r="E3157" s="39" t="str">
        <f>HYPERLINK("https://www.google.ru/search?q=1389171-498&amp;newwindow=1&amp;tbm=isch","Еще фото")</f>
        <v>Еще фото</v>
      </c>
      <c r="F3157" s="13"/>
      <c r="G3157" s="24" t="s">
        <v>3366</v>
      </c>
      <c r="H3157" s="24" t="s">
        <v>27</v>
      </c>
      <c r="I3157" s="24" t="s">
        <v>3366</v>
      </c>
      <c r="J3157" s="14" t="s">
        <v>29</v>
      </c>
      <c r="K3157" s="15" t="s">
        <v>54</v>
      </c>
      <c r="L3157" s="57"/>
      <c r="M3157" s="14"/>
      <c r="N3157" s="14" t="s">
        <v>91</v>
      </c>
      <c r="O3157" s="14"/>
      <c r="P3157" s="15" t="s">
        <v>51</v>
      </c>
      <c r="Q3157" s="16">
        <v>2799</v>
      </c>
      <c r="R3157" s="17">
        <v>40</v>
      </c>
      <c r="S3157" s="18">
        <v>1931.31</v>
      </c>
      <c r="T3157" s="19" t="s">
        <v>36</v>
      </c>
      <c r="U3157" s="20" t="s">
        <v>126</v>
      </c>
      <c r="V3157" s="21" t="s">
        <v>127</v>
      </c>
      <c r="W3157" s="22">
        <v>11</v>
      </c>
      <c r="X3157" s="23"/>
    </row>
    <row r="3158" spans="1:24" s="1" customFormat="1" ht="36.950000000000003" customHeight="1" x14ac:dyDescent="0.3">
      <c r="A3158" s="24" t="s">
        <v>23</v>
      </c>
      <c r="B3158" s="24" t="s">
        <v>3483</v>
      </c>
      <c r="C3158" s="12" t="s">
        <v>3488</v>
      </c>
      <c r="D3158" s="55"/>
      <c r="E3158" s="39" t="str">
        <f>HYPERLINK("https://www.google.ru/search?q=1389171-498&amp;newwindow=1&amp;tbm=isch","Еще фото")</f>
        <v>Еще фото</v>
      </c>
      <c r="F3158" s="13"/>
      <c r="G3158" s="24" t="s">
        <v>3366</v>
      </c>
      <c r="H3158" s="24" t="s">
        <v>27</v>
      </c>
      <c r="I3158" s="24" t="s">
        <v>3366</v>
      </c>
      <c r="J3158" s="14" t="s">
        <v>29</v>
      </c>
      <c r="K3158" s="15" t="s">
        <v>54</v>
      </c>
      <c r="L3158" s="58"/>
      <c r="M3158" s="14"/>
      <c r="N3158" s="14" t="s">
        <v>91</v>
      </c>
      <c r="O3158" s="14"/>
      <c r="P3158" s="15" t="s">
        <v>51</v>
      </c>
      <c r="Q3158" s="16">
        <v>2799</v>
      </c>
      <c r="R3158" s="17">
        <v>40</v>
      </c>
      <c r="S3158" s="18">
        <v>1931.31</v>
      </c>
      <c r="T3158" s="19" t="s">
        <v>36</v>
      </c>
      <c r="U3158" s="20" t="s">
        <v>59</v>
      </c>
      <c r="V3158" s="21" t="s">
        <v>60</v>
      </c>
      <c r="W3158" s="22">
        <v>1</v>
      </c>
      <c r="X3158" s="23"/>
    </row>
    <row r="3159" spans="1:24" s="1" customFormat="1" ht="35.1" customHeight="1" x14ac:dyDescent="0.3">
      <c r="A3159" s="11" t="s">
        <v>23</v>
      </c>
      <c r="B3159" s="11" t="s">
        <v>3489</v>
      </c>
      <c r="C3159" s="12" t="s">
        <v>3490</v>
      </c>
      <c r="D3159" s="53"/>
      <c r="E3159" s="39" t="str">
        <f>HYPERLINK("https://www.google.ru/search?q=1389569-001&amp;newwindow=1&amp;tbm=isch","Еще фото")</f>
        <v>Еще фото</v>
      </c>
      <c r="F3159" s="13"/>
      <c r="G3159" s="11" t="s">
        <v>3366</v>
      </c>
      <c r="H3159" s="11" t="s">
        <v>27</v>
      </c>
      <c r="I3159" s="14" t="s">
        <v>3366</v>
      </c>
      <c r="J3159" s="14" t="s">
        <v>29</v>
      </c>
      <c r="K3159" s="15" t="s">
        <v>64</v>
      </c>
      <c r="L3159" s="56" t="s">
        <v>3491</v>
      </c>
      <c r="M3159" s="14"/>
      <c r="N3159" s="14" t="s">
        <v>33</v>
      </c>
      <c r="O3159" s="14"/>
      <c r="P3159" s="15" t="s">
        <v>3492</v>
      </c>
      <c r="Q3159" s="16">
        <v>7499</v>
      </c>
      <c r="R3159" s="17">
        <v>40</v>
      </c>
      <c r="S3159" s="18">
        <v>5174.3099999999995</v>
      </c>
      <c r="T3159" s="19" t="s">
        <v>36</v>
      </c>
      <c r="U3159" s="20" t="s">
        <v>37</v>
      </c>
      <c r="V3159" s="21" t="s">
        <v>86</v>
      </c>
      <c r="W3159" s="22">
        <v>1</v>
      </c>
      <c r="X3159" s="23"/>
    </row>
    <row r="3160" spans="1:24" s="1" customFormat="1" ht="35.1" customHeight="1" x14ac:dyDescent="0.3">
      <c r="A3160" s="24" t="s">
        <v>23</v>
      </c>
      <c r="B3160" s="24" t="s">
        <v>3489</v>
      </c>
      <c r="C3160" s="12" t="s">
        <v>3490</v>
      </c>
      <c r="D3160" s="54"/>
      <c r="E3160" s="39" t="str">
        <f>HYPERLINK("https://www.google.ru/search?q=1389569-001&amp;newwindow=1&amp;tbm=isch","Еще фото")</f>
        <v>Еще фото</v>
      </c>
      <c r="F3160" s="13"/>
      <c r="G3160" s="24" t="s">
        <v>3366</v>
      </c>
      <c r="H3160" s="24" t="s">
        <v>27</v>
      </c>
      <c r="I3160" s="24" t="s">
        <v>3366</v>
      </c>
      <c r="J3160" s="14" t="s">
        <v>29</v>
      </c>
      <c r="K3160" s="15" t="s">
        <v>64</v>
      </c>
      <c r="L3160" s="57"/>
      <c r="M3160" s="14"/>
      <c r="N3160" s="14" t="s">
        <v>33</v>
      </c>
      <c r="O3160" s="14"/>
      <c r="P3160" s="15" t="s">
        <v>3492</v>
      </c>
      <c r="Q3160" s="16">
        <v>7499</v>
      </c>
      <c r="R3160" s="17">
        <v>40</v>
      </c>
      <c r="S3160" s="18">
        <v>5174.3099999999995</v>
      </c>
      <c r="T3160" s="19" t="s">
        <v>36</v>
      </c>
      <c r="U3160" s="20" t="s">
        <v>39</v>
      </c>
      <c r="V3160" s="21" t="s">
        <v>38</v>
      </c>
      <c r="W3160" s="22">
        <v>4</v>
      </c>
      <c r="X3160" s="23"/>
    </row>
    <row r="3161" spans="1:24" s="1" customFormat="1" ht="36.950000000000003" customHeight="1" x14ac:dyDescent="0.3">
      <c r="A3161" s="24" t="s">
        <v>23</v>
      </c>
      <c r="B3161" s="24" t="s">
        <v>3489</v>
      </c>
      <c r="C3161" s="12" t="s">
        <v>3490</v>
      </c>
      <c r="D3161" s="55"/>
      <c r="E3161" s="39" t="str">
        <f>HYPERLINK("https://www.google.ru/search?q=1389569-001&amp;newwindow=1&amp;tbm=isch","Еще фото")</f>
        <v>Еще фото</v>
      </c>
      <c r="F3161" s="13"/>
      <c r="G3161" s="24" t="s">
        <v>3366</v>
      </c>
      <c r="H3161" s="24" t="s">
        <v>27</v>
      </c>
      <c r="I3161" s="24" t="s">
        <v>3366</v>
      </c>
      <c r="J3161" s="14" t="s">
        <v>29</v>
      </c>
      <c r="K3161" s="15" t="s">
        <v>64</v>
      </c>
      <c r="L3161" s="58"/>
      <c r="M3161" s="14"/>
      <c r="N3161" s="14" t="s">
        <v>33</v>
      </c>
      <c r="O3161" s="14"/>
      <c r="P3161" s="15" t="s">
        <v>3492</v>
      </c>
      <c r="Q3161" s="16">
        <v>7499</v>
      </c>
      <c r="R3161" s="17">
        <v>40</v>
      </c>
      <c r="S3161" s="18">
        <v>5174.3099999999995</v>
      </c>
      <c r="T3161" s="19" t="s">
        <v>36</v>
      </c>
      <c r="U3161" s="20" t="s">
        <v>41</v>
      </c>
      <c r="V3161" s="21" t="s">
        <v>40</v>
      </c>
      <c r="W3161" s="22">
        <v>4</v>
      </c>
      <c r="X3161" s="23"/>
    </row>
    <row r="3162" spans="1:24" s="1" customFormat="1" ht="26.1" customHeight="1" x14ac:dyDescent="0.3">
      <c r="A3162" s="11" t="s">
        <v>23</v>
      </c>
      <c r="B3162" s="11" t="s">
        <v>3489</v>
      </c>
      <c r="C3162" s="12" t="s">
        <v>3493</v>
      </c>
      <c r="D3162" s="53"/>
      <c r="E3162" s="39" t="str">
        <f>HYPERLINK("https://www.google.ru/search?q=1389569-847&amp;newwindow=1&amp;tbm=isch","Еще фото")</f>
        <v>Еще фото</v>
      </c>
      <c r="F3162" s="13"/>
      <c r="G3162" s="11" t="s">
        <v>3366</v>
      </c>
      <c r="H3162" s="11" t="s">
        <v>27</v>
      </c>
      <c r="I3162" s="14" t="s">
        <v>3366</v>
      </c>
      <c r="J3162" s="14" t="s">
        <v>29</v>
      </c>
      <c r="K3162" s="15" t="s">
        <v>64</v>
      </c>
      <c r="L3162" s="56" t="s">
        <v>3491</v>
      </c>
      <c r="M3162" s="14"/>
      <c r="N3162" s="14" t="s">
        <v>434</v>
      </c>
      <c r="O3162" s="14"/>
      <c r="P3162" s="15" t="s">
        <v>3492</v>
      </c>
      <c r="Q3162" s="16">
        <v>7499</v>
      </c>
      <c r="R3162" s="17">
        <v>40</v>
      </c>
      <c r="S3162" s="18">
        <v>5174.3099999999995</v>
      </c>
      <c r="T3162" s="19" t="s">
        <v>36</v>
      </c>
      <c r="U3162" s="20" t="s">
        <v>69</v>
      </c>
      <c r="V3162" s="21" t="s">
        <v>70</v>
      </c>
      <c r="W3162" s="22">
        <v>2</v>
      </c>
      <c r="X3162" s="23"/>
    </row>
    <row r="3163" spans="1:24" s="1" customFormat="1" ht="26.1" customHeight="1" x14ac:dyDescent="0.3">
      <c r="A3163" s="24" t="s">
        <v>23</v>
      </c>
      <c r="B3163" s="24" t="s">
        <v>3489</v>
      </c>
      <c r="C3163" s="12" t="s">
        <v>3493</v>
      </c>
      <c r="D3163" s="54"/>
      <c r="E3163" s="39" t="str">
        <f>HYPERLINK("https://www.google.ru/search?q=1389569-847&amp;newwindow=1&amp;tbm=isch","Еще фото")</f>
        <v>Еще фото</v>
      </c>
      <c r="F3163" s="13"/>
      <c r="G3163" s="24" t="s">
        <v>3366</v>
      </c>
      <c r="H3163" s="24" t="s">
        <v>27</v>
      </c>
      <c r="I3163" s="24" t="s">
        <v>3366</v>
      </c>
      <c r="J3163" s="14" t="s">
        <v>29</v>
      </c>
      <c r="K3163" s="15" t="s">
        <v>64</v>
      </c>
      <c r="L3163" s="57"/>
      <c r="M3163" s="14"/>
      <c r="N3163" s="14" t="s">
        <v>434</v>
      </c>
      <c r="O3163" s="14"/>
      <c r="P3163" s="15" t="s">
        <v>3492</v>
      </c>
      <c r="Q3163" s="16">
        <v>7499</v>
      </c>
      <c r="R3163" s="17">
        <v>40</v>
      </c>
      <c r="S3163" s="18">
        <v>5174.3099999999995</v>
      </c>
      <c r="T3163" s="19" t="s">
        <v>36</v>
      </c>
      <c r="U3163" s="20" t="s">
        <v>37</v>
      </c>
      <c r="V3163" s="21" t="s">
        <v>86</v>
      </c>
      <c r="W3163" s="22">
        <v>2</v>
      </c>
      <c r="X3163" s="23"/>
    </row>
    <row r="3164" spans="1:24" s="1" customFormat="1" ht="26.1" customHeight="1" x14ac:dyDescent="0.3">
      <c r="A3164" s="24" t="s">
        <v>23</v>
      </c>
      <c r="B3164" s="24" t="s">
        <v>3489</v>
      </c>
      <c r="C3164" s="12" t="s">
        <v>3493</v>
      </c>
      <c r="D3164" s="54"/>
      <c r="E3164" s="39" t="str">
        <f>HYPERLINK("https://www.google.ru/search?q=1389569-847&amp;newwindow=1&amp;tbm=isch","Еще фото")</f>
        <v>Еще фото</v>
      </c>
      <c r="F3164" s="13"/>
      <c r="G3164" s="24" t="s">
        <v>3366</v>
      </c>
      <c r="H3164" s="24" t="s">
        <v>27</v>
      </c>
      <c r="I3164" s="24" t="s">
        <v>3366</v>
      </c>
      <c r="J3164" s="14" t="s">
        <v>29</v>
      </c>
      <c r="K3164" s="15" t="s">
        <v>64</v>
      </c>
      <c r="L3164" s="57"/>
      <c r="M3164" s="14"/>
      <c r="N3164" s="14" t="s">
        <v>434</v>
      </c>
      <c r="O3164" s="14"/>
      <c r="P3164" s="15" t="s">
        <v>3492</v>
      </c>
      <c r="Q3164" s="16">
        <v>7499</v>
      </c>
      <c r="R3164" s="17">
        <v>40</v>
      </c>
      <c r="S3164" s="18">
        <v>5174.3099999999995</v>
      </c>
      <c r="T3164" s="19" t="s">
        <v>36</v>
      </c>
      <c r="U3164" s="20" t="s">
        <v>39</v>
      </c>
      <c r="V3164" s="21" t="s">
        <v>38</v>
      </c>
      <c r="W3164" s="22">
        <v>2</v>
      </c>
      <c r="X3164" s="23"/>
    </row>
    <row r="3165" spans="1:24" s="1" customFormat="1" ht="26.1" customHeight="1" x14ac:dyDescent="0.3">
      <c r="A3165" s="24" t="s">
        <v>23</v>
      </c>
      <c r="B3165" s="24" t="s">
        <v>3489</v>
      </c>
      <c r="C3165" s="12" t="s">
        <v>3493</v>
      </c>
      <c r="D3165" s="55"/>
      <c r="E3165" s="39" t="str">
        <f>HYPERLINK("https://www.google.ru/search?q=1389569-847&amp;newwindow=1&amp;tbm=isch","Еще фото")</f>
        <v>Еще фото</v>
      </c>
      <c r="F3165" s="13"/>
      <c r="G3165" s="24" t="s">
        <v>3366</v>
      </c>
      <c r="H3165" s="24" t="s">
        <v>27</v>
      </c>
      <c r="I3165" s="24" t="s">
        <v>3366</v>
      </c>
      <c r="J3165" s="14" t="s">
        <v>29</v>
      </c>
      <c r="K3165" s="15" t="s">
        <v>64</v>
      </c>
      <c r="L3165" s="58"/>
      <c r="M3165" s="14"/>
      <c r="N3165" s="14" t="s">
        <v>434</v>
      </c>
      <c r="O3165" s="14"/>
      <c r="P3165" s="15" t="s">
        <v>3492</v>
      </c>
      <c r="Q3165" s="16">
        <v>7499</v>
      </c>
      <c r="R3165" s="17">
        <v>40</v>
      </c>
      <c r="S3165" s="18">
        <v>5174.3099999999995</v>
      </c>
      <c r="T3165" s="19" t="s">
        <v>36</v>
      </c>
      <c r="U3165" s="20" t="s">
        <v>41</v>
      </c>
      <c r="V3165" s="21" t="s">
        <v>40</v>
      </c>
      <c r="W3165" s="22">
        <v>1</v>
      </c>
      <c r="X3165" s="23"/>
    </row>
    <row r="3166" spans="1:24" s="1" customFormat="1" ht="51.95" customHeight="1" x14ac:dyDescent="0.3">
      <c r="A3166" s="11" t="s">
        <v>23</v>
      </c>
      <c r="B3166" s="11" t="s">
        <v>3381</v>
      </c>
      <c r="C3166" s="12" t="s">
        <v>3494</v>
      </c>
      <c r="D3166" s="59"/>
      <c r="E3166" s="39" t="str">
        <f>HYPERLINK("https://www.google.ru/search?q=1389712-299&amp;newwindow=1&amp;tbm=isch","Еще фото")</f>
        <v>Еще фото</v>
      </c>
      <c r="F3166" s="13"/>
      <c r="G3166" s="11" t="s">
        <v>3366</v>
      </c>
      <c r="H3166" s="11" t="s">
        <v>27</v>
      </c>
      <c r="I3166" s="14" t="s">
        <v>3366</v>
      </c>
      <c r="J3166" s="14" t="s">
        <v>29</v>
      </c>
      <c r="K3166" s="15" t="s">
        <v>64</v>
      </c>
      <c r="L3166" s="56" t="s">
        <v>3383</v>
      </c>
      <c r="M3166" s="14"/>
      <c r="N3166" s="14" t="s">
        <v>215</v>
      </c>
      <c r="O3166" s="14"/>
      <c r="P3166" s="15" t="s">
        <v>3140</v>
      </c>
      <c r="Q3166" s="16">
        <v>11099</v>
      </c>
      <c r="R3166" s="17">
        <v>40</v>
      </c>
      <c r="S3166" s="18">
        <v>7658.3099999999986</v>
      </c>
      <c r="T3166" s="19" t="s">
        <v>36</v>
      </c>
      <c r="U3166" s="20" t="s">
        <v>69</v>
      </c>
      <c r="V3166" s="21" t="s">
        <v>70</v>
      </c>
      <c r="W3166" s="22">
        <v>1</v>
      </c>
      <c r="X3166" s="23"/>
    </row>
    <row r="3167" spans="1:24" s="1" customFormat="1" ht="60.95" customHeight="1" x14ac:dyDescent="0.3">
      <c r="A3167" s="24" t="s">
        <v>23</v>
      </c>
      <c r="B3167" s="24" t="s">
        <v>3381</v>
      </c>
      <c r="C3167" s="12" t="s">
        <v>3494</v>
      </c>
      <c r="D3167" s="60"/>
      <c r="E3167" s="39" t="str">
        <f>HYPERLINK("https://www.google.ru/search?q=1389712-299&amp;newwindow=1&amp;tbm=isch","Еще фото")</f>
        <v>Еще фото</v>
      </c>
      <c r="F3167" s="13"/>
      <c r="G3167" s="24" t="s">
        <v>3366</v>
      </c>
      <c r="H3167" s="24" t="s">
        <v>27</v>
      </c>
      <c r="I3167" s="24" t="s">
        <v>3366</v>
      </c>
      <c r="J3167" s="14" t="s">
        <v>29</v>
      </c>
      <c r="K3167" s="15" t="s">
        <v>64</v>
      </c>
      <c r="L3167" s="58"/>
      <c r="M3167" s="14"/>
      <c r="N3167" s="14" t="s">
        <v>215</v>
      </c>
      <c r="O3167" s="14"/>
      <c r="P3167" s="15" t="s">
        <v>3140</v>
      </c>
      <c r="Q3167" s="16">
        <v>11099</v>
      </c>
      <c r="R3167" s="17">
        <v>40</v>
      </c>
      <c r="S3167" s="18">
        <v>7658.3099999999986</v>
      </c>
      <c r="T3167" s="19" t="s">
        <v>36</v>
      </c>
      <c r="U3167" s="20" t="s">
        <v>41</v>
      </c>
      <c r="V3167" s="21" t="s">
        <v>40</v>
      </c>
      <c r="W3167" s="22">
        <v>5</v>
      </c>
      <c r="X3167" s="23"/>
    </row>
    <row r="3168" spans="1:24" s="1" customFormat="1" ht="51.95" customHeight="1" x14ac:dyDescent="0.3">
      <c r="A3168" s="11" t="s">
        <v>23</v>
      </c>
      <c r="B3168" s="11" t="s">
        <v>3495</v>
      </c>
      <c r="C3168" s="12" t="s">
        <v>3496</v>
      </c>
      <c r="D3168" s="59"/>
      <c r="E3168" s="39" t="str">
        <f>HYPERLINK("https://www.google.ru/search?q=1389713-299&amp;newwindow=1&amp;tbm=isch","Еще фото")</f>
        <v>Еще фото</v>
      </c>
      <c r="F3168" s="13"/>
      <c r="G3168" s="11" t="s">
        <v>3366</v>
      </c>
      <c r="H3168" s="11" t="s">
        <v>27</v>
      </c>
      <c r="I3168" s="14" t="s">
        <v>3366</v>
      </c>
      <c r="J3168" s="14" t="s">
        <v>47</v>
      </c>
      <c r="K3168" s="15" t="s">
        <v>64</v>
      </c>
      <c r="L3168" s="56" t="s">
        <v>3497</v>
      </c>
      <c r="M3168" s="14"/>
      <c r="N3168" s="14" t="s">
        <v>215</v>
      </c>
      <c r="O3168" s="14"/>
      <c r="P3168" s="15" t="s">
        <v>113</v>
      </c>
      <c r="Q3168" s="16">
        <v>8499</v>
      </c>
      <c r="R3168" s="17">
        <v>40</v>
      </c>
      <c r="S3168" s="18">
        <v>5864.3099999999995</v>
      </c>
      <c r="T3168" s="19" t="s">
        <v>36</v>
      </c>
      <c r="U3168" s="20" t="s">
        <v>69</v>
      </c>
      <c r="V3168" s="21" t="s">
        <v>70</v>
      </c>
      <c r="W3168" s="22">
        <v>4</v>
      </c>
      <c r="X3168" s="23"/>
    </row>
    <row r="3169" spans="1:24" s="1" customFormat="1" ht="60.95" customHeight="1" x14ac:dyDescent="0.3">
      <c r="A3169" s="24" t="s">
        <v>23</v>
      </c>
      <c r="B3169" s="24" t="s">
        <v>3495</v>
      </c>
      <c r="C3169" s="12" t="s">
        <v>3496</v>
      </c>
      <c r="D3169" s="60"/>
      <c r="E3169" s="39" t="str">
        <f>HYPERLINK("https://www.google.ru/search?q=1389713-299&amp;newwindow=1&amp;tbm=isch","Еще фото")</f>
        <v>Еще фото</v>
      </c>
      <c r="F3169" s="13"/>
      <c r="G3169" s="24" t="s">
        <v>3366</v>
      </c>
      <c r="H3169" s="24" t="s">
        <v>27</v>
      </c>
      <c r="I3169" s="24" t="s">
        <v>3366</v>
      </c>
      <c r="J3169" s="14" t="s">
        <v>47</v>
      </c>
      <c r="K3169" s="15" t="s">
        <v>64</v>
      </c>
      <c r="L3169" s="58"/>
      <c r="M3169" s="14"/>
      <c r="N3169" s="14" t="s">
        <v>215</v>
      </c>
      <c r="O3169" s="14"/>
      <c r="P3169" s="15" t="s">
        <v>113</v>
      </c>
      <c r="Q3169" s="16">
        <v>8499</v>
      </c>
      <c r="R3169" s="17">
        <v>40</v>
      </c>
      <c r="S3169" s="18">
        <v>5864.3099999999995</v>
      </c>
      <c r="T3169" s="19" t="s">
        <v>36</v>
      </c>
      <c r="U3169" s="20" t="s">
        <v>37</v>
      </c>
      <c r="V3169" s="21" t="s">
        <v>86</v>
      </c>
      <c r="W3169" s="22">
        <v>2</v>
      </c>
      <c r="X3169" s="23"/>
    </row>
    <row r="3170" spans="1:24" s="1" customFormat="1" ht="108" customHeight="1" x14ac:dyDescent="0.3">
      <c r="A3170" s="11" t="s">
        <v>23</v>
      </c>
      <c r="B3170" s="11" t="s">
        <v>3498</v>
      </c>
      <c r="C3170" s="12" t="s">
        <v>3499</v>
      </c>
      <c r="D3170" s="25"/>
      <c r="E3170" s="39" t="str">
        <f>HYPERLINK("https://www.google.ru/search?q=1389831-847&amp;newwindow=1&amp;tbm=isch","Еще фото")</f>
        <v>Еще фото</v>
      </c>
      <c r="F3170" s="13"/>
      <c r="G3170" s="11" t="s">
        <v>3366</v>
      </c>
      <c r="H3170" s="11" t="s">
        <v>27</v>
      </c>
      <c r="I3170" s="14" t="s">
        <v>3366</v>
      </c>
      <c r="J3170" s="14" t="s">
        <v>29</v>
      </c>
      <c r="K3170" s="15" t="s">
        <v>30</v>
      </c>
      <c r="L3170" s="14" t="s">
        <v>3500</v>
      </c>
      <c r="M3170" s="14"/>
      <c r="N3170" s="14" t="s">
        <v>434</v>
      </c>
      <c r="O3170" s="14"/>
      <c r="P3170" s="15" t="s">
        <v>492</v>
      </c>
      <c r="Q3170" s="16">
        <v>7999</v>
      </c>
      <c r="R3170" s="17">
        <v>40</v>
      </c>
      <c r="S3170" s="18">
        <v>5519.3099999999995</v>
      </c>
      <c r="T3170" s="19" t="s">
        <v>36</v>
      </c>
      <c r="U3170" s="20" t="s">
        <v>37</v>
      </c>
      <c r="V3170" s="21" t="s">
        <v>38</v>
      </c>
      <c r="W3170" s="22">
        <v>1</v>
      </c>
      <c r="X3170" s="23"/>
    </row>
    <row r="3171" spans="1:24" s="1" customFormat="1" ht="108" customHeight="1" x14ac:dyDescent="0.3">
      <c r="A3171" s="11" t="s">
        <v>23</v>
      </c>
      <c r="B3171" s="11" t="s">
        <v>3410</v>
      </c>
      <c r="C3171" s="12" t="s">
        <v>3501</v>
      </c>
      <c r="D3171" s="25"/>
      <c r="E3171" s="39" t="str">
        <f>HYPERLINK("https://www.google.ru/search?q=1389882-001&amp;newwindow=1&amp;tbm=isch","Еще фото")</f>
        <v>Еще фото</v>
      </c>
      <c r="F3171" s="13" t="s">
        <v>98</v>
      </c>
      <c r="G3171" s="11" t="s">
        <v>3366</v>
      </c>
      <c r="H3171" s="11" t="s">
        <v>27</v>
      </c>
      <c r="I3171" s="14" t="s">
        <v>3366</v>
      </c>
      <c r="J3171" s="14" t="s">
        <v>29</v>
      </c>
      <c r="K3171" s="15" t="s">
        <v>64</v>
      </c>
      <c r="L3171" s="14" t="s">
        <v>3412</v>
      </c>
      <c r="M3171" s="14"/>
      <c r="N3171" s="14" t="s">
        <v>33</v>
      </c>
      <c r="O3171" s="14"/>
      <c r="P3171" s="15" t="s">
        <v>51</v>
      </c>
      <c r="Q3171" s="16">
        <v>3299</v>
      </c>
      <c r="R3171" s="17">
        <v>40</v>
      </c>
      <c r="S3171" s="18">
        <v>2276.31</v>
      </c>
      <c r="T3171" s="19" t="s">
        <v>36</v>
      </c>
      <c r="U3171" s="20" t="s">
        <v>39</v>
      </c>
      <c r="V3171" s="21" t="s">
        <v>38</v>
      </c>
      <c r="W3171" s="22">
        <v>2</v>
      </c>
      <c r="X3171" s="23"/>
    </row>
    <row r="3172" spans="1:24" s="1" customFormat="1" ht="108" customHeight="1" x14ac:dyDescent="0.3">
      <c r="A3172" s="11" t="s">
        <v>23</v>
      </c>
      <c r="B3172" s="11" t="s">
        <v>3410</v>
      </c>
      <c r="C3172" s="12" t="s">
        <v>3502</v>
      </c>
      <c r="D3172" s="25"/>
      <c r="E3172" s="39" t="str">
        <f>HYPERLINK("https://www.google.ru/search?q=1389882-002&amp;newwindow=1&amp;tbm=isch","Еще фото")</f>
        <v>Еще фото</v>
      </c>
      <c r="F3172" s="13" t="s">
        <v>98</v>
      </c>
      <c r="G3172" s="11" t="s">
        <v>3366</v>
      </c>
      <c r="H3172" s="11" t="s">
        <v>27</v>
      </c>
      <c r="I3172" s="14" t="s">
        <v>3366</v>
      </c>
      <c r="J3172" s="14" t="s">
        <v>29</v>
      </c>
      <c r="K3172" s="15" t="s">
        <v>64</v>
      </c>
      <c r="L3172" s="14" t="s">
        <v>3412</v>
      </c>
      <c r="M3172" s="14"/>
      <c r="N3172" s="14" t="s">
        <v>33</v>
      </c>
      <c r="O3172" s="14"/>
      <c r="P3172" s="15" t="s">
        <v>133</v>
      </c>
      <c r="Q3172" s="16">
        <v>3299</v>
      </c>
      <c r="R3172" s="17">
        <v>40</v>
      </c>
      <c r="S3172" s="18">
        <v>2276.31</v>
      </c>
      <c r="T3172" s="19" t="s">
        <v>36</v>
      </c>
      <c r="U3172" s="20" t="s">
        <v>39</v>
      </c>
      <c r="V3172" s="21" t="s">
        <v>38</v>
      </c>
      <c r="W3172" s="22">
        <v>1</v>
      </c>
      <c r="X3172" s="23"/>
    </row>
    <row r="3173" spans="1:24" s="1" customFormat="1" ht="108" customHeight="1" x14ac:dyDescent="0.3">
      <c r="A3173" s="11" t="s">
        <v>23</v>
      </c>
      <c r="B3173" s="11" t="s">
        <v>3410</v>
      </c>
      <c r="C3173" s="12" t="s">
        <v>3503</v>
      </c>
      <c r="D3173" s="25"/>
      <c r="E3173" s="39" t="str">
        <f>HYPERLINK("https://www.google.ru/search?q=1389882-025&amp;newwindow=1&amp;tbm=isch","Еще фото")</f>
        <v>Еще фото</v>
      </c>
      <c r="F3173" s="13"/>
      <c r="G3173" s="11" t="s">
        <v>3366</v>
      </c>
      <c r="H3173" s="11" t="s">
        <v>27</v>
      </c>
      <c r="I3173" s="14" t="s">
        <v>3366</v>
      </c>
      <c r="J3173" s="14" t="s">
        <v>29</v>
      </c>
      <c r="K3173" s="15" t="s">
        <v>64</v>
      </c>
      <c r="L3173" s="14" t="s">
        <v>3412</v>
      </c>
      <c r="M3173" s="14"/>
      <c r="N3173" s="14" t="s">
        <v>84</v>
      </c>
      <c r="O3173" s="14"/>
      <c r="P3173" s="15" t="s">
        <v>51</v>
      </c>
      <c r="Q3173" s="16">
        <v>3299</v>
      </c>
      <c r="R3173" s="17">
        <v>40</v>
      </c>
      <c r="S3173" s="18">
        <v>2276.31</v>
      </c>
      <c r="T3173" s="19" t="s">
        <v>36</v>
      </c>
      <c r="U3173" s="20" t="s">
        <v>39</v>
      </c>
      <c r="V3173" s="21" t="s">
        <v>38</v>
      </c>
      <c r="W3173" s="22">
        <v>2</v>
      </c>
      <c r="X3173" s="23"/>
    </row>
    <row r="3174" spans="1:24" s="1" customFormat="1" ht="108" customHeight="1" x14ac:dyDescent="0.3">
      <c r="A3174" s="11" t="s">
        <v>23</v>
      </c>
      <c r="B3174" s="11" t="s">
        <v>3504</v>
      </c>
      <c r="C3174" s="12" t="s">
        <v>3505</v>
      </c>
      <c r="D3174" s="25"/>
      <c r="E3174" s="39" t="str">
        <f>HYPERLINK("https://www.google.ru/search?q=1389918-989&amp;newwindow=1&amp;tbm=isch","Еще фото")</f>
        <v>Еще фото</v>
      </c>
      <c r="F3174" s="13"/>
      <c r="G3174" s="11" t="s">
        <v>3366</v>
      </c>
      <c r="H3174" s="11" t="s">
        <v>27</v>
      </c>
      <c r="I3174" s="14" t="s">
        <v>3366</v>
      </c>
      <c r="J3174" s="14" t="s">
        <v>47</v>
      </c>
      <c r="K3174" s="15" t="s">
        <v>30</v>
      </c>
      <c r="L3174" s="14" t="s">
        <v>3506</v>
      </c>
      <c r="M3174" s="14"/>
      <c r="N3174" s="14" t="s">
        <v>140</v>
      </c>
      <c r="O3174" s="14"/>
      <c r="P3174" s="15" t="s">
        <v>113</v>
      </c>
      <c r="Q3174" s="16">
        <v>13299</v>
      </c>
      <c r="R3174" s="17">
        <v>40</v>
      </c>
      <c r="S3174" s="18">
        <v>9176.31</v>
      </c>
      <c r="T3174" s="19" t="s">
        <v>36</v>
      </c>
      <c r="U3174" s="20" t="s">
        <v>104</v>
      </c>
      <c r="V3174" s="21" t="s">
        <v>105</v>
      </c>
      <c r="W3174" s="22">
        <v>1</v>
      </c>
      <c r="X3174" s="23"/>
    </row>
    <row r="3175" spans="1:24" s="1" customFormat="1" ht="108" customHeight="1" x14ac:dyDescent="0.3">
      <c r="A3175" s="11" t="s">
        <v>23</v>
      </c>
      <c r="B3175" s="11" t="s">
        <v>3507</v>
      </c>
      <c r="C3175" s="12" t="s">
        <v>3508</v>
      </c>
      <c r="D3175" s="25"/>
      <c r="E3175" s="39" t="str">
        <f>HYPERLINK("https://www.google.ru/search?q=1389919-001&amp;newwindow=1&amp;tbm=isch","Еще фото")</f>
        <v>Еще фото</v>
      </c>
      <c r="F3175" s="13"/>
      <c r="G3175" s="11" t="s">
        <v>3366</v>
      </c>
      <c r="H3175" s="11" t="s">
        <v>27</v>
      </c>
      <c r="I3175" s="14" t="s">
        <v>3366</v>
      </c>
      <c r="J3175" s="14" t="s">
        <v>47</v>
      </c>
      <c r="K3175" s="15" t="s">
        <v>30</v>
      </c>
      <c r="L3175" s="14" t="s">
        <v>3509</v>
      </c>
      <c r="M3175" s="14"/>
      <c r="N3175" s="14" t="s">
        <v>33</v>
      </c>
      <c r="O3175" s="14"/>
      <c r="P3175" s="15" t="s">
        <v>2387</v>
      </c>
      <c r="Q3175" s="16">
        <v>8499</v>
      </c>
      <c r="R3175" s="17">
        <v>40</v>
      </c>
      <c r="S3175" s="18">
        <v>5864.3099999999995</v>
      </c>
      <c r="T3175" s="19" t="s">
        <v>36</v>
      </c>
      <c r="U3175" s="20" t="s">
        <v>39</v>
      </c>
      <c r="V3175" s="21" t="s">
        <v>40</v>
      </c>
      <c r="W3175" s="22">
        <v>2</v>
      </c>
      <c r="X3175" s="23"/>
    </row>
    <row r="3176" spans="1:24" s="1" customFormat="1" ht="51.95" customHeight="1" x14ac:dyDescent="0.3">
      <c r="A3176" s="11" t="s">
        <v>23</v>
      </c>
      <c r="B3176" s="11" t="s">
        <v>3372</v>
      </c>
      <c r="C3176" s="12" t="s">
        <v>3510</v>
      </c>
      <c r="D3176" s="59"/>
      <c r="E3176" s="39" t="str">
        <f>HYPERLINK("https://www.google.ru/search?q=1390075-002&amp;newwindow=1&amp;tbm=isch","Еще фото")</f>
        <v>Еще фото</v>
      </c>
      <c r="F3176" s="13"/>
      <c r="G3176" s="11" t="s">
        <v>3366</v>
      </c>
      <c r="H3176" s="11" t="s">
        <v>27</v>
      </c>
      <c r="I3176" s="14" t="s">
        <v>3366</v>
      </c>
      <c r="J3176" s="14" t="s">
        <v>29</v>
      </c>
      <c r="K3176" s="15" t="s">
        <v>54</v>
      </c>
      <c r="L3176" s="56" t="s">
        <v>3374</v>
      </c>
      <c r="M3176" s="14"/>
      <c r="N3176" s="14" t="s">
        <v>33</v>
      </c>
      <c r="O3176" s="14"/>
      <c r="P3176" s="15" t="s">
        <v>51</v>
      </c>
      <c r="Q3176" s="16">
        <v>2899</v>
      </c>
      <c r="R3176" s="17">
        <v>40</v>
      </c>
      <c r="S3176" s="18">
        <v>2000.31</v>
      </c>
      <c r="T3176" s="19" t="s">
        <v>36</v>
      </c>
      <c r="U3176" s="20" t="s">
        <v>114</v>
      </c>
      <c r="V3176" s="21" t="s">
        <v>115</v>
      </c>
      <c r="W3176" s="22">
        <v>2</v>
      </c>
      <c r="X3176" s="23"/>
    </row>
    <row r="3177" spans="1:24" s="1" customFormat="1" ht="60.95" customHeight="1" x14ac:dyDescent="0.3">
      <c r="A3177" s="24" t="s">
        <v>23</v>
      </c>
      <c r="B3177" s="24" t="s">
        <v>3372</v>
      </c>
      <c r="C3177" s="12" t="s">
        <v>3510</v>
      </c>
      <c r="D3177" s="60"/>
      <c r="E3177" s="39" t="str">
        <f>HYPERLINK("https://www.google.ru/search?q=1390075-002&amp;newwindow=1&amp;tbm=isch","Еще фото")</f>
        <v>Еще фото</v>
      </c>
      <c r="F3177" s="13"/>
      <c r="G3177" s="24" t="s">
        <v>3366</v>
      </c>
      <c r="H3177" s="24" t="s">
        <v>27</v>
      </c>
      <c r="I3177" s="24" t="s">
        <v>3366</v>
      </c>
      <c r="J3177" s="14" t="s">
        <v>29</v>
      </c>
      <c r="K3177" s="15" t="s">
        <v>54</v>
      </c>
      <c r="L3177" s="58"/>
      <c r="M3177" s="14"/>
      <c r="N3177" s="14" t="s">
        <v>33</v>
      </c>
      <c r="O3177" s="14"/>
      <c r="P3177" s="15" t="s">
        <v>51</v>
      </c>
      <c r="Q3177" s="16">
        <v>2899</v>
      </c>
      <c r="R3177" s="17">
        <v>40</v>
      </c>
      <c r="S3177" s="18">
        <v>2000.31</v>
      </c>
      <c r="T3177" s="19" t="s">
        <v>36</v>
      </c>
      <c r="U3177" s="20" t="s">
        <v>59</v>
      </c>
      <c r="V3177" s="21" t="s">
        <v>60</v>
      </c>
      <c r="W3177" s="22">
        <v>8</v>
      </c>
      <c r="X3177" s="23"/>
    </row>
    <row r="3178" spans="1:24" s="1" customFormat="1" ht="21" customHeight="1" x14ac:dyDescent="0.3">
      <c r="A3178" s="11" t="s">
        <v>23</v>
      </c>
      <c r="B3178" s="11" t="s">
        <v>3372</v>
      </c>
      <c r="C3178" s="26" t="s">
        <v>3511</v>
      </c>
      <c r="D3178" s="53"/>
      <c r="E3178" s="39" t="str">
        <f>HYPERLINK("https://www.google.ru/search?q=1390075-870&amp;newwindow=1&amp;tbm=isch","Еще фото")</f>
        <v>Еще фото</v>
      </c>
      <c r="F3178" s="13"/>
      <c r="G3178" s="11" t="s">
        <v>3366</v>
      </c>
      <c r="H3178" s="11" t="s">
        <v>27</v>
      </c>
      <c r="I3178" s="14" t="s">
        <v>3366</v>
      </c>
      <c r="J3178" s="14" t="s">
        <v>29</v>
      </c>
      <c r="K3178" s="15" t="s">
        <v>54</v>
      </c>
      <c r="L3178" s="56"/>
      <c r="M3178" s="14"/>
      <c r="N3178" s="14" t="s">
        <v>434</v>
      </c>
      <c r="O3178" s="14"/>
      <c r="P3178" s="15" t="s">
        <v>133</v>
      </c>
      <c r="Q3178" s="16">
        <v>2899</v>
      </c>
      <c r="R3178" s="17">
        <v>40</v>
      </c>
      <c r="S3178" s="18">
        <v>2000.31</v>
      </c>
      <c r="T3178" s="19" t="s">
        <v>36</v>
      </c>
      <c r="U3178" s="20" t="s">
        <v>114</v>
      </c>
      <c r="V3178" s="21" t="s">
        <v>115</v>
      </c>
      <c r="W3178" s="22">
        <v>4</v>
      </c>
      <c r="X3178" s="23"/>
    </row>
    <row r="3179" spans="1:24" s="1" customFormat="1" ht="21" customHeight="1" x14ac:dyDescent="0.3">
      <c r="A3179" s="24" t="s">
        <v>23</v>
      </c>
      <c r="B3179" s="24" t="s">
        <v>3372</v>
      </c>
      <c r="C3179" s="27" t="s">
        <v>3511</v>
      </c>
      <c r="D3179" s="54"/>
      <c r="E3179" s="39" t="str">
        <f>HYPERLINK("https://www.google.ru/search?q=1390075-870&amp;newwindow=1&amp;tbm=isch","Еще фото")</f>
        <v>Еще фото</v>
      </c>
      <c r="F3179" s="13"/>
      <c r="G3179" s="24" t="s">
        <v>3366</v>
      </c>
      <c r="H3179" s="24" t="s">
        <v>27</v>
      </c>
      <c r="I3179" s="24" t="s">
        <v>3366</v>
      </c>
      <c r="J3179" s="14" t="s">
        <v>29</v>
      </c>
      <c r="K3179" s="15" t="s">
        <v>54</v>
      </c>
      <c r="L3179" s="57"/>
      <c r="M3179" s="14"/>
      <c r="N3179" s="14" t="s">
        <v>434</v>
      </c>
      <c r="O3179" s="14"/>
      <c r="P3179" s="15" t="s">
        <v>133</v>
      </c>
      <c r="Q3179" s="16">
        <v>2899</v>
      </c>
      <c r="R3179" s="17">
        <v>40</v>
      </c>
      <c r="S3179" s="18">
        <v>2000.31</v>
      </c>
      <c r="T3179" s="19" t="s">
        <v>36</v>
      </c>
      <c r="U3179" s="20" t="s">
        <v>126</v>
      </c>
      <c r="V3179" s="21" t="s">
        <v>127</v>
      </c>
      <c r="W3179" s="22">
        <v>6</v>
      </c>
      <c r="X3179" s="23"/>
    </row>
    <row r="3180" spans="1:24" s="1" customFormat="1" ht="21" customHeight="1" x14ac:dyDescent="0.3">
      <c r="A3180" s="24" t="s">
        <v>23</v>
      </c>
      <c r="B3180" s="24" t="s">
        <v>3372</v>
      </c>
      <c r="C3180" s="27" t="s">
        <v>3511</v>
      </c>
      <c r="D3180" s="54"/>
      <c r="E3180" s="39" t="str">
        <f>HYPERLINK("https://www.google.ru/search?q=1390075-870&amp;newwindow=1&amp;tbm=isch","Еще фото")</f>
        <v>Еще фото</v>
      </c>
      <c r="F3180" s="13"/>
      <c r="G3180" s="24" t="s">
        <v>3366</v>
      </c>
      <c r="H3180" s="24" t="s">
        <v>27</v>
      </c>
      <c r="I3180" s="24" t="s">
        <v>3366</v>
      </c>
      <c r="J3180" s="14" t="s">
        <v>29</v>
      </c>
      <c r="K3180" s="15" t="s">
        <v>54</v>
      </c>
      <c r="L3180" s="57"/>
      <c r="M3180" s="14"/>
      <c r="N3180" s="14" t="s">
        <v>434</v>
      </c>
      <c r="O3180" s="14"/>
      <c r="P3180" s="15" t="s">
        <v>133</v>
      </c>
      <c r="Q3180" s="16">
        <v>2899</v>
      </c>
      <c r="R3180" s="17">
        <v>40</v>
      </c>
      <c r="S3180" s="18">
        <v>2000.31</v>
      </c>
      <c r="T3180" s="19" t="s">
        <v>36</v>
      </c>
      <c r="U3180" s="20" t="s">
        <v>128</v>
      </c>
      <c r="V3180" s="21" t="s">
        <v>129</v>
      </c>
      <c r="W3180" s="22">
        <v>3</v>
      </c>
      <c r="X3180" s="23"/>
    </row>
    <row r="3181" spans="1:24" s="1" customFormat="1" ht="21" customHeight="1" x14ac:dyDescent="0.3">
      <c r="A3181" s="24" t="s">
        <v>23</v>
      </c>
      <c r="B3181" s="24" t="s">
        <v>3372</v>
      </c>
      <c r="C3181" s="27" t="s">
        <v>3511</v>
      </c>
      <c r="D3181" s="54"/>
      <c r="E3181" s="39" t="str">
        <f>HYPERLINK("https://www.google.ru/search?q=1390075-870&amp;newwindow=1&amp;tbm=isch","Еще фото")</f>
        <v>Еще фото</v>
      </c>
      <c r="F3181" s="13"/>
      <c r="G3181" s="24" t="s">
        <v>3366</v>
      </c>
      <c r="H3181" s="24" t="s">
        <v>27</v>
      </c>
      <c r="I3181" s="24" t="s">
        <v>3366</v>
      </c>
      <c r="J3181" s="14" t="s">
        <v>29</v>
      </c>
      <c r="K3181" s="15" t="s">
        <v>54</v>
      </c>
      <c r="L3181" s="57"/>
      <c r="M3181" s="14"/>
      <c r="N3181" s="14" t="s">
        <v>434</v>
      </c>
      <c r="O3181" s="14"/>
      <c r="P3181" s="15" t="s">
        <v>133</v>
      </c>
      <c r="Q3181" s="16">
        <v>2899</v>
      </c>
      <c r="R3181" s="17">
        <v>40</v>
      </c>
      <c r="S3181" s="18">
        <v>2000.31</v>
      </c>
      <c r="T3181" s="19" t="s">
        <v>36</v>
      </c>
      <c r="U3181" s="20" t="s">
        <v>59</v>
      </c>
      <c r="V3181" s="21" t="s">
        <v>60</v>
      </c>
      <c r="W3181" s="22">
        <v>13</v>
      </c>
      <c r="X3181" s="23"/>
    </row>
    <row r="3182" spans="1:24" s="1" customFormat="1" ht="32.1" customHeight="1" x14ac:dyDescent="0.3">
      <c r="A3182" s="24" t="s">
        <v>23</v>
      </c>
      <c r="B3182" s="24" t="s">
        <v>3372</v>
      </c>
      <c r="C3182" s="27" t="s">
        <v>3511</v>
      </c>
      <c r="D3182" s="55"/>
      <c r="E3182" s="39" t="str">
        <f>HYPERLINK("https://www.google.ru/search?q=1390075-870&amp;newwindow=1&amp;tbm=isch","Еще фото")</f>
        <v>Еще фото</v>
      </c>
      <c r="F3182" s="13"/>
      <c r="G3182" s="24" t="s">
        <v>3366</v>
      </c>
      <c r="H3182" s="24" t="s">
        <v>27</v>
      </c>
      <c r="I3182" s="24" t="s">
        <v>3366</v>
      </c>
      <c r="J3182" s="14" t="s">
        <v>29</v>
      </c>
      <c r="K3182" s="15" t="s">
        <v>54</v>
      </c>
      <c r="L3182" s="58"/>
      <c r="M3182" s="14"/>
      <c r="N3182" s="14" t="s">
        <v>434</v>
      </c>
      <c r="O3182" s="14"/>
      <c r="P3182" s="15" t="s">
        <v>133</v>
      </c>
      <c r="Q3182" s="16">
        <v>2899</v>
      </c>
      <c r="R3182" s="17">
        <v>40</v>
      </c>
      <c r="S3182" s="18">
        <v>2000.31</v>
      </c>
      <c r="T3182" s="19" t="s">
        <v>36</v>
      </c>
      <c r="U3182" s="20" t="s">
        <v>130</v>
      </c>
      <c r="V3182" s="21" t="s">
        <v>131</v>
      </c>
      <c r="W3182" s="22">
        <v>6</v>
      </c>
      <c r="X3182" s="23"/>
    </row>
    <row r="3183" spans="1:24" s="1" customFormat="1" ht="35.1" customHeight="1" x14ac:dyDescent="0.3">
      <c r="A3183" s="11" t="s">
        <v>23</v>
      </c>
      <c r="B3183" s="11" t="s">
        <v>3512</v>
      </c>
      <c r="C3183" s="12" t="s">
        <v>3513</v>
      </c>
      <c r="D3183" s="53"/>
      <c r="E3183" s="39" t="str">
        <f>HYPERLINK("https://www.google.ru/search?q=1390257-001&amp;newwindow=1&amp;tbm=isch","Еще фото")</f>
        <v>Еще фото</v>
      </c>
      <c r="F3183" s="13"/>
      <c r="G3183" s="11" t="s">
        <v>3366</v>
      </c>
      <c r="H3183" s="11" t="s">
        <v>27</v>
      </c>
      <c r="I3183" s="14" t="s">
        <v>3366</v>
      </c>
      <c r="J3183" s="14" t="s">
        <v>47</v>
      </c>
      <c r="K3183" s="15" t="s">
        <v>30</v>
      </c>
      <c r="L3183" s="56" t="s">
        <v>3514</v>
      </c>
      <c r="M3183" s="14"/>
      <c r="N3183" s="14" t="s">
        <v>33</v>
      </c>
      <c r="O3183" s="14"/>
      <c r="P3183" s="15" t="s">
        <v>51</v>
      </c>
      <c r="Q3183" s="16">
        <v>16599</v>
      </c>
      <c r="R3183" s="17">
        <v>40</v>
      </c>
      <c r="S3183" s="18">
        <v>11453.31</v>
      </c>
      <c r="T3183" s="19" t="s">
        <v>36</v>
      </c>
      <c r="U3183" s="20" t="s">
        <v>37</v>
      </c>
      <c r="V3183" s="21" t="s">
        <v>38</v>
      </c>
      <c r="W3183" s="22">
        <v>1</v>
      </c>
      <c r="X3183" s="23"/>
    </row>
    <row r="3184" spans="1:24" s="1" customFormat="1" ht="35.1" customHeight="1" x14ac:dyDescent="0.3">
      <c r="A3184" s="24" t="s">
        <v>23</v>
      </c>
      <c r="B3184" s="24" t="s">
        <v>3512</v>
      </c>
      <c r="C3184" s="12" t="s">
        <v>3513</v>
      </c>
      <c r="D3184" s="54"/>
      <c r="E3184" s="39" t="str">
        <f>HYPERLINK("https://www.google.ru/search?q=1390257-001&amp;newwindow=1&amp;tbm=isch","Еще фото")</f>
        <v>Еще фото</v>
      </c>
      <c r="F3184" s="13"/>
      <c r="G3184" s="24" t="s">
        <v>3366</v>
      </c>
      <c r="H3184" s="24" t="s">
        <v>27</v>
      </c>
      <c r="I3184" s="24" t="s">
        <v>3366</v>
      </c>
      <c r="J3184" s="14" t="s">
        <v>47</v>
      </c>
      <c r="K3184" s="15" t="s">
        <v>30</v>
      </c>
      <c r="L3184" s="57"/>
      <c r="M3184" s="14"/>
      <c r="N3184" s="14" t="s">
        <v>33</v>
      </c>
      <c r="O3184" s="14"/>
      <c r="P3184" s="15" t="s">
        <v>51</v>
      </c>
      <c r="Q3184" s="16">
        <v>16599</v>
      </c>
      <c r="R3184" s="17">
        <v>40</v>
      </c>
      <c r="S3184" s="18">
        <v>11453.31</v>
      </c>
      <c r="T3184" s="19" t="s">
        <v>36</v>
      </c>
      <c r="U3184" s="20" t="s">
        <v>39</v>
      </c>
      <c r="V3184" s="21" t="s">
        <v>40</v>
      </c>
      <c r="W3184" s="22">
        <v>1</v>
      </c>
      <c r="X3184" s="23"/>
    </row>
    <row r="3185" spans="1:24" s="1" customFormat="1" ht="36.950000000000003" customHeight="1" x14ac:dyDescent="0.3">
      <c r="A3185" s="24" t="s">
        <v>23</v>
      </c>
      <c r="B3185" s="24" t="s">
        <v>3512</v>
      </c>
      <c r="C3185" s="12" t="s">
        <v>3513</v>
      </c>
      <c r="D3185" s="55"/>
      <c r="E3185" s="39" t="str">
        <f>HYPERLINK("https://www.google.ru/search?q=1390257-001&amp;newwindow=1&amp;tbm=isch","Еще фото")</f>
        <v>Еще фото</v>
      </c>
      <c r="F3185" s="13"/>
      <c r="G3185" s="24" t="s">
        <v>3366</v>
      </c>
      <c r="H3185" s="24" t="s">
        <v>27</v>
      </c>
      <c r="I3185" s="24" t="s">
        <v>3366</v>
      </c>
      <c r="J3185" s="14" t="s">
        <v>47</v>
      </c>
      <c r="K3185" s="15" t="s">
        <v>30</v>
      </c>
      <c r="L3185" s="58"/>
      <c r="M3185" s="14"/>
      <c r="N3185" s="14" t="s">
        <v>33</v>
      </c>
      <c r="O3185" s="14"/>
      <c r="P3185" s="15" t="s">
        <v>51</v>
      </c>
      <c r="Q3185" s="16">
        <v>16599</v>
      </c>
      <c r="R3185" s="17">
        <v>40</v>
      </c>
      <c r="S3185" s="18">
        <v>11453.31</v>
      </c>
      <c r="T3185" s="19" t="s">
        <v>36</v>
      </c>
      <c r="U3185" s="20" t="s">
        <v>104</v>
      </c>
      <c r="V3185" s="21" t="s">
        <v>105</v>
      </c>
      <c r="W3185" s="22">
        <v>1</v>
      </c>
      <c r="X3185" s="23"/>
    </row>
    <row r="3186" spans="1:24" s="1" customFormat="1" ht="108" customHeight="1" x14ac:dyDescent="0.3">
      <c r="A3186" s="11" t="s">
        <v>23</v>
      </c>
      <c r="B3186" s="11" t="s">
        <v>3512</v>
      </c>
      <c r="C3186" s="12" t="s">
        <v>3515</v>
      </c>
      <c r="D3186" s="25"/>
      <c r="E3186" s="39" t="str">
        <f>HYPERLINK("https://www.google.ru/search?q=1390257-251&amp;newwindow=1&amp;tbm=isch","Еще фото")</f>
        <v>Еще фото</v>
      </c>
      <c r="F3186" s="13"/>
      <c r="G3186" s="11" t="s">
        <v>3366</v>
      </c>
      <c r="H3186" s="11" t="s">
        <v>27</v>
      </c>
      <c r="I3186" s="14" t="s">
        <v>3366</v>
      </c>
      <c r="J3186" s="14" t="s">
        <v>47</v>
      </c>
      <c r="K3186" s="15" t="s">
        <v>30</v>
      </c>
      <c r="L3186" s="14" t="s">
        <v>3514</v>
      </c>
      <c r="M3186" s="14"/>
      <c r="N3186" s="14" t="s">
        <v>125</v>
      </c>
      <c r="O3186" s="14"/>
      <c r="P3186" s="15" t="s">
        <v>51</v>
      </c>
      <c r="Q3186" s="16">
        <v>16599</v>
      </c>
      <c r="R3186" s="17">
        <v>40</v>
      </c>
      <c r="S3186" s="18">
        <v>11453.31</v>
      </c>
      <c r="T3186" s="19" t="s">
        <v>36</v>
      </c>
      <c r="U3186" s="20" t="s">
        <v>37</v>
      </c>
      <c r="V3186" s="21" t="s">
        <v>38</v>
      </c>
      <c r="W3186" s="22">
        <v>2</v>
      </c>
      <c r="X3186" s="23"/>
    </row>
    <row r="3187" spans="1:24" s="1" customFormat="1" ht="108" customHeight="1" x14ac:dyDescent="0.3">
      <c r="A3187" s="11" t="s">
        <v>23</v>
      </c>
      <c r="B3187" s="11" t="s">
        <v>3516</v>
      </c>
      <c r="C3187" s="12" t="s">
        <v>3517</v>
      </c>
      <c r="D3187" s="25"/>
      <c r="E3187" s="39" t="str">
        <f>HYPERLINK("https://www.google.ru/search?q=6004985-005&amp;newwindow=1&amp;tbm=isch","Еще фото")</f>
        <v>Еще фото</v>
      </c>
      <c r="F3187" s="13"/>
      <c r="G3187" s="11" t="s">
        <v>3366</v>
      </c>
      <c r="H3187" s="11" t="s">
        <v>27</v>
      </c>
      <c r="I3187" s="14" t="s">
        <v>3366</v>
      </c>
      <c r="J3187" s="14" t="s">
        <v>29</v>
      </c>
      <c r="K3187" s="15" t="s">
        <v>54</v>
      </c>
      <c r="L3187" s="14" t="s">
        <v>3518</v>
      </c>
      <c r="M3187" s="14"/>
      <c r="N3187" s="14" t="s">
        <v>33</v>
      </c>
      <c r="O3187" s="14"/>
      <c r="P3187" s="15" t="s">
        <v>133</v>
      </c>
      <c r="Q3187" s="16">
        <v>3299</v>
      </c>
      <c r="R3187" s="17">
        <v>40</v>
      </c>
      <c r="S3187" s="18">
        <v>2276.31</v>
      </c>
      <c r="T3187" s="19" t="s">
        <v>36</v>
      </c>
      <c r="U3187" s="20" t="s">
        <v>130</v>
      </c>
      <c r="V3187" s="21" t="s">
        <v>131</v>
      </c>
      <c r="W3187" s="22">
        <v>1</v>
      </c>
      <c r="X3187" s="23"/>
    </row>
    <row r="3188" spans="1:24" s="1" customFormat="1" ht="26.1" customHeight="1" x14ac:dyDescent="0.3">
      <c r="A3188" s="11" t="s">
        <v>23</v>
      </c>
      <c r="B3188" s="11" t="s">
        <v>3516</v>
      </c>
      <c r="C3188" s="12" t="s">
        <v>3519</v>
      </c>
      <c r="D3188" s="53"/>
      <c r="E3188" s="39" t="str">
        <f>HYPERLINK("https://www.google.ru/search?q=6004985-466&amp;newwindow=1&amp;tbm=isch","Еще фото")</f>
        <v>Еще фото</v>
      </c>
      <c r="F3188" s="13"/>
      <c r="G3188" s="11" t="s">
        <v>3366</v>
      </c>
      <c r="H3188" s="11" t="s">
        <v>27</v>
      </c>
      <c r="I3188" s="14" t="s">
        <v>3366</v>
      </c>
      <c r="J3188" s="14" t="s">
        <v>29</v>
      </c>
      <c r="K3188" s="15" t="s">
        <v>54</v>
      </c>
      <c r="L3188" s="56"/>
      <c r="M3188" s="14"/>
      <c r="N3188" s="14" t="s">
        <v>91</v>
      </c>
      <c r="O3188" s="14"/>
      <c r="P3188" s="15" t="s">
        <v>51</v>
      </c>
      <c r="Q3188" s="16">
        <v>3299</v>
      </c>
      <c r="R3188" s="17">
        <v>40</v>
      </c>
      <c r="S3188" s="18">
        <v>2276.31</v>
      </c>
      <c r="T3188" s="19" t="s">
        <v>36</v>
      </c>
      <c r="U3188" s="20" t="s">
        <v>114</v>
      </c>
      <c r="V3188" s="21" t="s">
        <v>115</v>
      </c>
      <c r="W3188" s="22">
        <v>4</v>
      </c>
      <c r="X3188" s="23"/>
    </row>
    <row r="3189" spans="1:24" s="1" customFormat="1" ht="26.1" customHeight="1" x14ac:dyDescent="0.3">
      <c r="A3189" s="24" t="s">
        <v>23</v>
      </c>
      <c r="B3189" s="24" t="s">
        <v>3516</v>
      </c>
      <c r="C3189" s="12" t="s">
        <v>3519</v>
      </c>
      <c r="D3189" s="54"/>
      <c r="E3189" s="39" t="str">
        <f>HYPERLINK("https://www.google.ru/search?q=6004985-466&amp;newwindow=1&amp;tbm=isch","Еще фото")</f>
        <v>Еще фото</v>
      </c>
      <c r="F3189" s="13"/>
      <c r="G3189" s="24" t="s">
        <v>3366</v>
      </c>
      <c r="H3189" s="24" t="s">
        <v>27</v>
      </c>
      <c r="I3189" s="24" t="s">
        <v>3366</v>
      </c>
      <c r="J3189" s="14" t="s">
        <v>29</v>
      </c>
      <c r="K3189" s="15" t="s">
        <v>54</v>
      </c>
      <c r="L3189" s="57"/>
      <c r="M3189" s="14"/>
      <c r="N3189" s="14" t="s">
        <v>91</v>
      </c>
      <c r="O3189" s="14"/>
      <c r="P3189" s="15" t="s">
        <v>51</v>
      </c>
      <c r="Q3189" s="16">
        <v>3299</v>
      </c>
      <c r="R3189" s="17">
        <v>40</v>
      </c>
      <c r="S3189" s="18">
        <v>2276.31</v>
      </c>
      <c r="T3189" s="19" t="s">
        <v>36</v>
      </c>
      <c r="U3189" s="20" t="s">
        <v>126</v>
      </c>
      <c r="V3189" s="21" t="s">
        <v>127</v>
      </c>
      <c r="W3189" s="22">
        <v>3</v>
      </c>
      <c r="X3189" s="23"/>
    </row>
    <row r="3190" spans="1:24" s="1" customFormat="1" ht="26.1" customHeight="1" x14ac:dyDescent="0.3">
      <c r="A3190" s="24" t="s">
        <v>23</v>
      </c>
      <c r="B3190" s="24" t="s">
        <v>3516</v>
      </c>
      <c r="C3190" s="12" t="s">
        <v>3519</v>
      </c>
      <c r="D3190" s="54"/>
      <c r="E3190" s="39" t="str">
        <f>HYPERLINK("https://www.google.ru/search?q=6004985-466&amp;newwindow=1&amp;tbm=isch","Еще фото")</f>
        <v>Еще фото</v>
      </c>
      <c r="F3190" s="13"/>
      <c r="G3190" s="24" t="s">
        <v>3366</v>
      </c>
      <c r="H3190" s="24" t="s">
        <v>27</v>
      </c>
      <c r="I3190" s="24" t="s">
        <v>3366</v>
      </c>
      <c r="J3190" s="14" t="s">
        <v>29</v>
      </c>
      <c r="K3190" s="15" t="s">
        <v>54</v>
      </c>
      <c r="L3190" s="57"/>
      <c r="M3190" s="14"/>
      <c r="N3190" s="14" t="s">
        <v>91</v>
      </c>
      <c r="O3190" s="14"/>
      <c r="P3190" s="15" t="s">
        <v>51</v>
      </c>
      <c r="Q3190" s="16">
        <v>3299</v>
      </c>
      <c r="R3190" s="17">
        <v>40</v>
      </c>
      <c r="S3190" s="18">
        <v>2276.31</v>
      </c>
      <c r="T3190" s="19" t="s">
        <v>36</v>
      </c>
      <c r="U3190" s="20" t="s">
        <v>59</v>
      </c>
      <c r="V3190" s="21" t="s">
        <v>60</v>
      </c>
      <c r="W3190" s="22">
        <v>10</v>
      </c>
      <c r="X3190" s="23"/>
    </row>
    <row r="3191" spans="1:24" s="1" customFormat="1" ht="26.1" customHeight="1" x14ac:dyDescent="0.3">
      <c r="A3191" s="24" t="s">
        <v>23</v>
      </c>
      <c r="B3191" s="24" t="s">
        <v>3516</v>
      </c>
      <c r="C3191" s="12" t="s">
        <v>3519</v>
      </c>
      <c r="D3191" s="55"/>
      <c r="E3191" s="39" t="str">
        <f>HYPERLINK("https://www.google.ru/search?q=6004985-466&amp;newwindow=1&amp;tbm=isch","Еще фото")</f>
        <v>Еще фото</v>
      </c>
      <c r="F3191" s="13"/>
      <c r="G3191" s="24" t="s">
        <v>3366</v>
      </c>
      <c r="H3191" s="24" t="s">
        <v>27</v>
      </c>
      <c r="I3191" s="24" t="s">
        <v>3366</v>
      </c>
      <c r="J3191" s="14" t="s">
        <v>29</v>
      </c>
      <c r="K3191" s="15" t="s">
        <v>54</v>
      </c>
      <c r="L3191" s="58"/>
      <c r="M3191" s="14"/>
      <c r="N3191" s="14" t="s">
        <v>91</v>
      </c>
      <c r="O3191" s="14"/>
      <c r="P3191" s="15" t="s">
        <v>51</v>
      </c>
      <c r="Q3191" s="16">
        <v>3299</v>
      </c>
      <c r="R3191" s="17">
        <v>40</v>
      </c>
      <c r="S3191" s="18">
        <v>2276.31</v>
      </c>
      <c r="T3191" s="19" t="s">
        <v>36</v>
      </c>
      <c r="U3191" s="20" t="s">
        <v>130</v>
      </c>
      <c r="V3191" s="21" t="s">
        <v>131</v>
      </c>
      <c r="W3191" s="22">
        <v>1</v>
      </c>
      <c r="X3191" s="23"/>
    </row>
    <row r="3192" spans="1:24" s="1" customFormat="1" ht="35.1" customHeight="1" x14ac:dyDescent="0.3">
      <c r="A3192" s="11" t="s">
        <v>23</v>
      </c>
      <c r="B3192" s="11" t="s">
        <v>3516</v>
      </c>
      <c r="C3192" s="12" t="s">
        <v>3520</v>
      </c>
      <c r="D3192" s="53"/>
      <c r="E3192" s="39" t="str">
        <f>HYPERLINK("https://www.google.ru/search?q=6004985-600&amp;newwindow=1&amp;tbm=isch","Еще фото")</f>
        <v>Еще фото</v>
      </c>
      <c r="F3192" s="13"/>
      <c r="G3192" s="11" t="s">
        <v>3366</v>
      </c>
      <c r="H3192" s="11" t="s">
        <v>27</v>
      </c>
      <c r="I3192" s="14" t="s">
        <v>3366</v>
      </c>
      <c r="J3192" s="14" t="s">
        <v>29</v>
      </c>
      <c r="K3192" s="15" t="s">
        <v>54</v>
      </c>
      <c r="L3192" s="56" t="s">
        <v>3518</v>
      </c>
      <c r="M3192" s="14"/>
      <c r="N3192" s="14" t="s">
        <v>57</v>
      </c>
      <c r="O3192" s="14"/>
      <c r="P3192" s="15" t="s">
        <v>3521</v>
      </c>
      <c r="Q3192" s="16">
        <v>3299</v>
      </c>
      <c r="R3192" s="17">
        <v>40</v>
      </c>
      <c r="S3192" s="18">
        <v>2276.31</v>
      </c>
      <c r="T3192" s="19" t="s">
        <v>36</v>
      </c>
      <c r="U3192" s="20" t="s">
        <v>114</v>
      </c>
      <c r="V3192" s="21" t="s">
        <v>115</v>
      </c>
      <c r="W3192" s="22">
        <v>2</v>
      </c>
      <c r="X3192" s="23"/>
    </row>
    <row r="3193" spans="1:24" s="1" customFormat="1" ht="35.1" customHeight="1" x14ac:dyDescent="0.3">
      <c r="A3193" s="24" t="s">
        <v>23</v>
      </c>
      <c r="B3193" s="24" t="s">
        <v>3516</v>
      </c>
      <c r="C3193" s="12" t="s">
        <v>3520</v>
      </c>
      <c r="D3193" s="54"/>
      <c r="E3193" s="39" t="str">
        <f>HYPERLINK("https://www.google.ru/search?q=6004985-600&amp;newwindow=1&amp;tbm=isch","Еще фото")</f>
        <v>Еще фото</v>
      </c>
      <c r="F3193" s="13"/>
      <c r="G3193" s="24" t="s">
        <v>3366</v>
      </c>
      <c r="H3193" s="24" t="s">
        <v>27</v>
      </c>
      <c r="I3193" s="24" t="s">
        <v>3366</v>
      </c>
      <c r="J3193" s="14" t="s">
        <v>29</v>
      </c>
      <c r="K3193" s="15" t="s">
        <v>54</v>
      </c>
      <c r="L3193" s="57"/>
      <c r="M3193" s="14"/>
      <c r="N3193" s="14" t="s">
        <v>57</v>
      </c>
      <c r="O3193" s="14"/>
      <c r="P3193" s="15" t="s">
        <v>3521</v>
      </c>
      <c r="Q3193" s="16">
        <v>3299</v>
      </c>
      <c r="R3193" s="17">
        <v>40</v>
      </c>
      <c r="S3193" s="18">
        <v>2276.31</v>
      </c>
      <c r="T3193" s="19" t="s">
        <v>36</v>
      </c>
      <c r="U3193" s="20" t="s">
        <v>126</v>
      </c>
      <c r="V3193" s="21" t="s">
        <v>127</v>
      </c>
      <c r="W3193" s="22">
        <v>2</v>
      </c>
      <c r="X3193" s="23"/>
    </row>
    <row r="3194" spans="1:24" s="1" customFormat="1" ht="36.950000000000003" customHeight="1" x14ac:dyDescent="0.3">
      <c r="A3194" s="24" t="s">
        <v>23</v>
      </c>
      <c r="B3194" s="24" t="s">
        <v>3516</v>
      </c>
      <c r="C3194" s="12" t="s">
        <v>3520</v>
      </c>
      <c r="D3194" s="55"/>
      <c r="E3194" s="39" t="str">
        <f>HYPERLINK("https://www.google.ru/search?q=6004985-600&amp;newwindow=1&amp;tbm=isch","Еще фото")</f>
        <v>Еще фото</v>
      </c>
      <c r="F3194" s="13"/>
      <c r="G3194" s="24" t="s">
        <v>3366</v>
      </c>
      <c r="H3194" s="24" t="s">
        <v>27</v>
      </c>
      <c r="I3194" s="24" t="s">
        <v>3366</v>
      </c>
      <c r="J3194" s="14" t="s">
        <v>29</v>
      </c>
      <c r="K3194" s="15" t="s">
        <v>54</v>
      </c>
      <c r="L3194" s="58"/>
      <c r="M3194" s="14"/>
      <c r="N3194" s="14" t="s">
        <v>57</v>
      </c>
      <c r="O3194" s="14"/>
      <c r="P3194" s="15" t="s">
        <v>3521</v>
      </c>
      <c r="Q3194" s="16">
        <v>3299</v>
      </c>
      <c r="R3194" s="17">
        <v>40</v>
      </c>
      <c r="S3194" s="18">
        <v>2276.31</v>
      </c>
      <c r="T3194" s="19" t="s">
        <v>36</v>
      </c>
      <c r="U3194" s="20" t="s">
        <v>59</v>
      </c>
      <c r="V3194" s="21" t="s">
        <v>60</v>
      </c>
      <c r="W3194" s="22">
        <v>2</v>
      </c>
      <c r="X3194" s="23"/>
    </row>
    <row r="3195" spans="1:24" s="1" customFormat="1" ht="51.95" customHeight="1" x14ac:dyDescent="0.3">
      <c r="A3195" s="11" t="s">
        <v>23</v>
      </c>
      <c r="B3195" s="11" t="s">
        <v>3387</v>
      </c>
      <c r="C3195" s="12" t="s">
        <v>3522</v>
      </c>
      <c r="D3195" s="59"/>
      <c r="E3195" s="39" t="str">
        <f>HYPERLINK("https://www.google.ru/search?q=6005086-002&amp;newwindow=1&amp;tbm=isch","Еще фото")</f>
        <v>Еще фото</v>
      </c>
      <c r="F3195" s="13"/>
      <c r="G3195" s="11" t="s">
        <v>3366</v>
      </c>
      <c r="H3195" s="11" t="s">
        <v>27</v>
      </c>
      <c r="I3195" s="14" t="s">
        <v>3366</v>
      </c>
      <c r="J3195" s="14" t="s">
        <v>29</v>
      </c>
      <c r="K3195" s="15" t="s">
        <v>64</v>
      </c>
      <c r="L3195" s="56" t="s">
        <v>3389</v>
      </c>
      <c r="M3195" s="14"/>
      <c r="N3195" s="14" t="s">
        <v>33</v>
      </c>
      <c r="O3195" s="14"/>
      <c r="P3195" s="15" t="s">
        <v>3390</v>
      </c>
      <c r="Q3195" s="16">
        <v>10599</v>
      </c>
      <c r="R3195" s="17">
        <v>40</v>
      </c>
      <c r="S3195" s="18">
        <v>7313.3099999999986</v>
      </c>
      <c r="T3195" s="19" t="s">
        <v>36</v>
      </c>
      <c r="U3195" s="20" t="s">
        <v>69</v>
      </c>
      <c r="V3195" s="21" t="s">
        <v>70</v>
      </c>
      <c r="W3195" s="22">
        <v>4</v>
      </c>
      <c r="X3195" s="23"/>
    </row>
    <row r="3196" spans="1:24" s="1" customFormat="1" ht="60.95" customHeight="1" x14ac:dyDescent="0.3">
      <c r="A3196" s="24" t="s">
        <v>23</v>
      </c>
      <c r="B3196" s="24" t="s">
        <v>3387</v>
      </c>
      <c r="C3196" s="12" t="s">
        <v>3522</v>
      </c>
      <c r="D3196" s="60"/>
      <c r="E3196" s="39" t="str">
        <f>HYPERLINK("https://www.google.ru/search?q=6005086-002&amp;newwindow=1&amp;tbm=isch","Еще фото")</f>
        <v>Еще фото</v>
      </c>
      <c r="F3196" s="13"/>
      <c r="G3196" s="24" t="s">
        <v>3366</v>
      </c>
      <c r="H3196" s="24" t="s">
        <v>27</v>
      </c>
      <c r="I3196" s="24" t="s">
        <v>3366</v>
      </c>
      <c r="J3196" s="14" t="s">
        <v>29</v>
      </c>
      <c r="K3196" s="15" t="s">
        <v>64</v>
      </c>
      <c r="L3196" s="58"/>
      <c r="M3196" s="14"/>
      <c r="N3196" s="14" t="s">
        <v>33</v>
      </c>
      <c r="O3196" s="14"/>
      <c r="P3196" s="15" t="s">
        <v>3390</v>
      </c>
      <c r="Q3196" s="16">
        <v>10599</v>
      </c>
      <c r="R3196" s="17">
        <v>40</v>
      </c>
      <c r="S3196" s="18">
        <v>7313.3099999999986</v>
      </c>
      <c r="T3196" s="19" t="s">
        <v>36</v>
      </c>
      <c r="U3196" s="20" t="s">
        <v>37</v>
      </c>
      <c r="V3196" s="21" t="s">
        <v>86</v>
      </c>
      <c r="W3196" s="22">
        <v>1</v>
      </c>
      <c r="X3196" s="23"/>
    </row>
    <row r="3197" spans="1:24" s="1" customFormat="1" ht="108" customHeight="1" x14ac:dyDescent="0.3">
      <c r="A3197" s="11" t="s">
        <v>23</v>
      </c>
      <c r="B3197" s="11" t="s">
        <v>3523</v>
      </c>
      <c r="C3197" s="12" t="s">
        <v>3524</v>
      </c>
      <c r="D3197" s="25"/>
      <c r="E3197" s="39" t="str">
        <f>HYPERLINK("https://www.google.ru/search?q=6007178-035&amp;newwindow=1&amp;tbm=isch","Еще фото")</f>
        <v>Еще фото</v>
      </c>
      <c r="F3197" s="13"/>
      <c r="G3197" s="11" t="s">
        <v>3366</v>
      </c>
      <c r="H3197" s="11" t="s">
        <v>27</v>
      </c>
      <c r="I3197" s="14" t="s">
        <v>3366</v>
      </c>
      <c r="J3197" s="14" t="s">
        <v>29</v>
      </c>
      <c r="K3197" s="15" t="s">
        <v>30</v>
      </c>
      <c r="L3197" s="14" t="s">
        <v>3525</v>
      </c>
      <c r="M3197" s="14"/>
      <c r="N3197" s="14" t="s">
        <v>84</v>
      </c>
      <c r="O3197" s="14"/>
      <c r="P3197" s="15" t="s">
        <v>779</v>
      </c>
      <c r="Q3197" s="16">
        <v>8499</v>
      </c>
      <c r="R3197" s="17">
        <v>40</v>
      </c>
      <c r="S3197" s="18">
        <v>5864.3099999999995</v>
      </c>
      <c r="T3197" s="19" t="s">
        <v>36</v>
      </c>
      <c r="U3197" s="20" t="s">
        <v>37</v>
      </c>
      <c r="V3197" s="21" t="s">
        <v>38</v>
      </c>
      <c r="W3197" s="22">
        <v>1</v>
      </c>
      <c r="X3197" s="23"/>
    </row>
    <row r="3198" spans="1:24" s="1" customFormat="1" ht="51.95" customHeight="1" x14ac:dyDescent="0.3">
      <c r="A3198" s="11" t="s">
        <v>23</v>
      </c>
      <c r="B3198" s="11" t="s">
        <v>3523</v>
      </c>
      <c r="C3198" s="12" t="s">
        <v>3526</v>
      </c>
      <c r="D3198" s="59"/>
      <c r="E3198" s="39" t="str">
        <f>HYPERLINK("https://www.google.ru/search?q=6007178-651&amp;newwindow=1&amp;tbm=isch","Еще фото")</f>
        <v>Еще фото</v>
      </c>
      <c r="F3198" s="13"/>
      <c r="G3198" s="11" t="s">
        <v>3366</v>
      </c>
      <c r="H3198" s="11" t="s">
        <v>27</v>
      </c>
      <c r="I3198" s="14" t="s">
        <v>3366</v>
      </c>
      <c r="J3198" s="14" t="s">
        <v>29</v>
      </c>
      <c r="K3198" s="15" t="s">
        <v>30</v>
      </c>
      <c r="L3198" s="56" t="s">
        <v>3525</v>
      </c>
      <c r="M3198" s="14"/>
      <c r="N3198" s="14" t="s">
        <v>249</v>
      </c>
      <c r="O3198" s="14"/>
      <c r="P3198" s="15" t="s">
        <v>779</v>
      </c>
      <c r="Q3198" s="16">
        <v>8499</v>
      </c>
      <c r="R3198" s="17">
        <v>40</v>
      </c>
      <c r="S3198" s="18">
        <v>5864.3099999999995</v>
      </c>
      <c r="T3198" s="19" t="s">
        <v>36</v>
      </c>
      <c r="U3198" s="20" t="s">
        <v>37</v>
      </c>
      <c r="V3198" s="21" t="s">
        <v>38</v>
      </c>
      <c r="W3198" s="22">
        <v>2</v>
      </c>
      <c r="X3198" s="23"/>
    </row>
    <row r="3199" spans="1:24" s="1" customFormat="1" ht="60.95" customHeight="1" x14ac:dyDescent="0.3">
      <c r="A3199" s="24" t="s">
        <v>23</v>
      </c>
      <c r="B3199" s="24" t="s">
        <v>3523</v>
      </c>
      <c r="C3199" s="12" t="s">
        <v>3526</v>
      </c>
      <c r="D3199" s="60"/>
      <c r="E3199" s="39" t="str">
        <f>HYPERLINK("https://www.google.ru/search?q=6007178-651&amp;newwindow=1&amp;tbm=isch","Еще фото")</f>
        <v>Еще фото</v>
      </c>
      <c r="F3199" s="13"/>
      <c r="G3199" s="24" t="s">
        <v>3366</v>
      </c>
      <c r="H3199" s="24" t="s">
        <v>27</v>
      </c>
      <c r="I3199" s="24" t="s">
        <v>3366</v>
      </c>
      <c r="J3199" s="14" t="s">
        <v>29</v>
      </c>
      <c r="K3199" s="15" t="s">
        <v>30</v>
      </c>
      <c r="L3199" s="58"/>
      <c r="M3199" s="14"/>
      <c r="N3199" s="14" t="s">
        <v>249</v>
      </c>
      <c r="O3199" s="14"/>
      <c r="P3199" s="15" t="s">
        <v>779</v>
      </c>
      <c r="Q3199" s="16">
        <v>8499</v>
      </c>
      <c r="R3199" s="17">
        <v>40</v>
      </c>
      <c r="S3199" s="18">
        <v>5864.3099999999995</v>
      </c>
      <c r="T3199" s="19" t="s">
        <v>36</v>
      </c>
      <c r="U3199" s="20" t="s">
        <v>39</v>
      </c>
      <c r="V3199" s="21" t="s">
        <v>40</v>
      </c>
      <c r="W3199" s="22">
        <v>1</v>
      </c>
      <c r="X3199" s="23"/>
    </row>
    <row r="3200" spans="1:24" s="1" customFormat="1" ht="108" customHeight="1" x14ac:dyDescent="0.3">
      <c r="A3200" s="11" t="s">
        <v>23</v>
      </c>
      <c r="B3200" s="11" t="s">
        <v>3527</v>
      </c>
      <c r="C3200" s="12" t="s">
        <v>3528</v>
      </c>
      <c r="D3200" s="25"/>
      <c r="E3200" s="39" t="str">
        <f>HYPERLINK("https://www.google.ru/search?q=6009361-001&amp;newwindow=1&amp;tbm=isch","Еще фото")</f>
        <v>Еще фото</v>
      </c>
      <c r="F3200" s="13"/>
      <c r="G3200" s="11" t="s">
        <v>3366</v>
      </c>
      <c r="H3200" s="11" t="s">
        <v>27</v>
      </c>
      <c r="I3200" s="14" t="s">
        <v>3366</v>
      </c>
      <c r="J3200" s="14" t="s">
        <v>47</v>
      </c>
      <c r="K3200" s="15" t="s">
        <v>30</v>
      </c>
      <c r="L3200" s="14" t="s">
        <v>3529</v>
      </c>
      <c r="M3200" s="14"/>
      <c r="N3200" s="14" t="s">
        <v>33</v>
      </c>
      <c r="O3200" s="14"/>
      <c r="P3200" s="15" t="s">
        <v>185</v>
      </c>
      <c r="Q3200" s="16">
        <v>7399</v>
      </c>
      <c r="R3200" s="17">
        <v>40</v>
      </c>
      <c r="S3200" s="18">
        <v>5105.3099999999995</v>
      </c>
      <c r="T3200" s="19" t="s">
        <v>36</v>
      </c>
      <c r="U3200" s="20" t="s">
        <v>39</v>
      </c>
      <c r="V3200" s="21" t="s">
        <v>40</v>
      </c>
      <c r="W3200" s="22">
        <v>1</v>
      </c>
      <c r="X3200" s="23"/>
    </row>
    <row r="3201" spans="1:24" s="1" customFormat="1" ht="21" customHeight="1" x14ac:dyDescent="0.3">
      <c r="A3201" s="11" t="s">
        <v>23</v>
      </c>
      <c r="B3201" s="11" t="s">
        <v>3527</v>
      </c>
      <c r="C3201" s="26" t="s">
        <v>3530</v>
      </c>
      <c r="D3201" s="53"/>
      <c r="E3201" s="39" t="str">
        <f>HYPERLINK("https://www.google.ru/search?q=6009361-466&amp;newwindow=1&amp;tbm=isch","Еще фото")</f>
        <v>Еще фото</v>
      </c>
      <c r="F3201" s="13"/>
      <c r="G3201" s="11" t="s">
        <v>3366</v>
      </c>
      <c r="H3201" s="11" t="s">
        <v>27</v>
      </c>
      <c r="I3201" s="14" t="s">
        <v>3366</v>
      </c>
      <c r="J3201" s="14" t="s">
        <v>47</v>
      </c>
      <c r="K3201" s="15" t="s">
        <v>30</v>
      </c>
      <c r="L3201" s="56"/>
      <c r="M3201" s="14"/>
      <c r="N3201" s="14" t="s">
        <v>91</v>
      </c>
      <c r="O3201" s="14"/>
      <c r="P3201" s="15" t="s">
        <v>269</v>
      </c>
      <c r="Q3201" s="16">
        <v>7399</v>
      </c>
      <c r="R3201" s="17">
        <v>40</v>
      </c>
      <c r="S3201" s="18">
        <v>5105.3099999999995</v>
      </c>
      <c r="T3201" s="19" t="s">
        <v>36</v>
      </c>
      <c r="U3201" s="20" t="s">
        <v>37</v>
      </c>
      <c r="V3201" s="21" t="s">
        <v>38</v>
      </c>
      <c r="W3201" s="22">
        <v>3</v>
      </c>
      <c r="X3201" s="23"/>
    </row>
    <row r="3202" spans="1:24" s="1" customFormat="1" ht="21" customHeight="1" x14ac:dyDescent="0.3">
      <c r="A3202" s="24" t="s">
        <v>23</v>
      </c>
      <c r="B3202" s="24" t="s">
        <v>3527</v>
      </c>
      <c r="C3202" s="27" t="s">
        <v>3530</v>
      </c>
      <c r="D3202" s="54"/>
      <c r="E3202" s="39" t="str">
        <f>HYPERLINK("https://www.google.ru/search?q=6009361-466&amp;newwindow=1&amp;tbm=isch","Еще фото")</f>
        <v>Еще фото</v>
      </c>
      <c r="F3202" s="13"/>
      <c r="G3202" s="24" t="s">
        <v>3366</v>
      </c>
      <c r="H3202" s="24" t="s">
        <v>27</v>
      </c>
      <c r="I3202" s="24" t="s">
        <v>3366</v>
      </c>
      <c r="J3202" s="14" t="s">
        <v>47</v>
      </c>
      <c r="K3202" s="15" t="s">
        <v>30</v>
      </c>
      <c r="L3202" s="57"/>
      <c r="M3202" s="14"/>
      <c r="N3202" s="14" t="s">
        <v>91</v>
      </c>
      <c r="O3202" s="14"/>
      <c r="P3202" s="15" t="s">
        <v>269</v>
      </c>
      <c r="Q3202" s="16">
        <v>7399</v>
      </c>
      <c r="R3202" s="17">
        <v>40</v>
      </c>
      <c r="S3202" s="18">
        <v>5105.3099999999995</v>
      </c>
      <c r="T3202" s="19" t="s">
        <v>36</v>
      </c>
      <c r="U3202" s="20" t="s">
        <v>39</v>
      </c>
      <c r="V3202" s="21" t="s">
        <v>40</v>
      </c>
      <c r="W3202" s="22">
        <v>1</v>
      </c>
      <c r="X3202" s="23"/>
    </row>
    <row r="3203" spans="1:24" s="1" customFormat="1" ht="21" customHeight="1" x14ac:dyDescent="0.3">
      <c r="A3203" s="24" t="s">
        <v>23</v>
      </c>
      <c r="B3203" s="24" t="s">
        <v>3527</v>
      </c>
      <c r="C3203" s="27" t="s">
        <v>3530</v>
      </c>
      <c r="D3203" s="54"/>
      <c r="E3203" s="39" t="str">
        <f>HYPERLINK("https://www.google.ru/search?q=6009361-466&amp;newwindow=1&amp;tbm=isch","Еще фото")</f>
        <v>Еще фото</v>
      </c>
      <c r="F3203" s="13"/>
      <c r="G3203" s="24" t="s">
        <v>3366</v>
      </c>
      <c r="H3203" s="24" t="s">
        <v>27</v>
      </c>
      <c r="I3203" s="24" t="s">
        <v>3366</v>
      </c>
      <c r="J3203" s="14" t="s">
        <v>47</v>
      </c>
      <c r="K3203" s="15" t="s">
        <v>30</v>
      </c>
      <c r="L3203" s="57"/>
      <c r="M3203" s="14"/>
      <c r="N3203" s="14" t="s">
        <v>91</v>
      </c>
      <c r="O3203" s="14"/>
      <c r="P3203" s="15" t="s">
        <v>269</v>
      </c>
      <c r="Q3203" s="16">
        <v>7399</v>
      </c>
      <c r="R3203" s="17">
        <v>40</v>
      </c>
      <c r="S3203" s="18">
        <v>5105.3099999999995</v>
      </c>
      <c r="T3203" s="19" t="s">
        <v>36</v>
      </c>
      <c r="U3203" s="20" t="s">
        <v>41</v>
      </c>
      <c r="V3203" s="21" t="s">
        <v>42</v>
      </c>
      <c r="W3203" s="22">
        <v>3</v>
      </c>
      <c r="X3203" s="23"/>
    </row>
    <row r="3204" spans="1:24" s="1" customFormat="1" ht="21" customHeight="1" x14ac:dyDescent="0.3">
      <c r="A3204" s="24" t="s">
        <v>23</v>
      </c>
      <c r="B3204" s="24" t="s">
        <v>3527</v>
      </c>
      <c r="C3204" s="27" t="s">
        <v>3530</v>
      </c>
      <c r="D3204" s="54"/>
      <c r="E3204" s="39" t="str">
        <f>HYPERLINK("https://www.google.ru/search?q=6009361-466&amp;newwindow=1&amp;tbm=isch","Еще фото")</f>
        <v>Еще фото</v>
      </c>
      <c r="F3204" s="13"/>
      <c r="G3204" s="24" t="s">
        <v>3366</v>
      </c>
      <c r="H3204" s="24" t="s">
        <v>27</v>
      </c>
      <c r="I3204" s="24" t="s">
        <v>3366</v>
      </c>
      <c r="J3204" s="14" t="s">
        <v>47</v>
      </c>
      <c r="K3204" s="15" t="s">
        <v>30</v>
      </c>
      <c r="L3204" s="57"/>
      <c r="M3204" s="14"/>
      <c r="N3204" s="14" t="s">
        <v>91</v>
      </c>
      <c r="O3204" s="14"/>
      <c r="P3204" s="15" t="s">
        <v>269</v>
      </c>
      <c r="Q3204" s="16">
        <v>7399</v>
      </c>
      <c r="R3204" s="17">
        <v>40</v>
      </c>
      <c r="S3204" s="18">
        <v>5105.3099999999995</v>
      </c>
      <c r="T3204" s="19" t="s">
        <v>36</v>
      </c>
      <c r="U3204" s="20" t="s">
        <v>43</v>
      </c>
      <c r="V3204" s="21" t="s">
        <v>44</v>
      </c>
      <c r="W3204" s="22">
        <v>1</v>
      </c>
      <c r="X3204" s="23"/>
    </row>
    <row r="3205" spans="1:24" s="1" customFormat="1" ht="32.1" customHeight="1" x14ac:dyDescent="0.3">
      <c r="A3205" s="24" t="s">
        <v>23</v>
      </c>
      <c r="B3205" s="24" t="s">
        <v>3527</v>
      </c>
      <c r="C3205" s="27" t="s">
        <v>3530</v>
      </c>
      <c r="D3205" s="55"/>
      <c r="E3205" s="39" t="str">
        <f>HYPERLINK("https://www.google.ru/search?q=6009361-466&amp;newwindow=1&amp;tbm=isch","Еще фото")</f>
        <v>Еще фото</v>
      </c>
      <c r="F3205" s="13"/>
      <c r="G3205" s="24" t="s">
        <v>3366</v>
      </c>
      <c r="H3205" s="24" t="s">
        <v>27</v>
      </c>
      <c r="I3205" s="24" t="s">
        <v>3366</v>
      </c>
      <c r="J3205" s="14" t="s">
        <v>47</v>
      </c>
      <c r="K3205" s="15" t="s">
        <v>30</v>
      </c>
      <c r="L3205" s="58"/>
      <c r="M3205" s="14"/>
      <c r="N3205" s="14" t="s">
        <v>91</v>
      </c>
      <c r="O3205" s="14"/>
      <c r="P3205" s="15" t="s">
        <v>269</v>
      </c>
      <c r="Q3205" s="16">
        <v>7399</v>
      </c>
      <c r="R3205" s="17">
        <v>40</v>
      </c>
      <c r="S3205" s="18">
        <v>5105.3099999999995</v>
      </c>
      <c r="T3205" s="19" t="s">
        <v>36</v>
      </c>
      <c r="U3205" s="20" t="s">
        <v>104</v>
      </c>
      <c r="V3205" s="21" t="s">
        <v>105</v>
      </c>
      <c r="W3205" s="22">
        <v>1</v>
      </c>
      <c r="X3205" s="23"/>
    </row>
    <row r="3206" spans="1:24" s="1" customFormat="1" ht="21" customHeight="1" x14ac:dyDescent="0.3">
      <c r="A3206" s="11" t="s">
        <v>23</v>
      </c>
      <c r="B3206" s="11" t="s">
        <v>3531</v>
      </c>
      <c r="C3206" s="26" t="s">
        <v>3532</v>
      </c>
      <c r="D3206" s="53"/>
      <c r="E3206" s="39" t="str">
        <f>HYPERLINK("https://www.google.ru/search?q=6009364-069&amp;newwindow=1&amp;tbm=isch","Еще фото")</f>
        <v>Еще фото</v>
      </c>
      <c r="F3206" s="13"/>
      <c r="G3206" s="11" t="s">
        <v>3366</v>
      </c>
      <c r="H3206" s="11" t="s">
        <v>27</v>
      </c>
      <c r="I3206" s="14" t="s">
        <v>3366</v>
      </c>
      <c r="J3206" s="14" t="s">
        <v>47</v>
      </c>
      <c r="K3206" s="15" t="s">
        <v>30</v>
      </c>
      <c r="L3206" s="56"/>
      <c r="M3206" s="14"/>
      <c r="N3206" s="14" t="s">
        <v>84</v>
      </c>
      <c r="O3206" s="14"/>
      <c r="P3206" s="15" t="s">
        <v>3533</v>
      </c>
      <c r="Q3206" s="16">
        <v>9899</v>
      </c>
      <c r="R3206" s="17">
        <v>40</v>
      </c>
      <c r="S3206" s="18">
        <v>6830.3099999999995</v>
      </c>
      <c r="T3206" s="19" t="s">
        <v>36</v>
      </c>
      <c r="U3206" s="20" t="s">
        <v>37</v>
      </c>
      <c r="V3206" s="21" t="s">
        <v>38</v>
      </c>
      <c r="W3206" s="22">
        <v>11</v>
      </c>
      <c r="X3206" s="23"/>
    </row>
    <row r="3207" spans="1:24" s="1" customFormat="1" ht="21" customHeight="1" x14ac:dyDescent="0.3">
      <c r="A3207" s="24" t="s">
        <v>23</v>
      </c>
      <c r="B3207" s="24" t="s">
        <v>3531</v>
      </c>
      <c r="C3207" s="27" t="s">
        <v>3532</v>
      </c>
      <c r="D3207" s="54"/>
      <c r="E3207" s="39" t="str">
        <f>HYPERLINK("https://www.google.ru/search?q=6009364-069&amp;newwindow=1&amp;tbm=isch","Еще фото")</f>
        <v>Еще фото</v>
      </c>
      <c r="F3207" s="13"/>
      <c r="G3207" s="24" t="s">
        <v>3366</v>
      </c>
      <c r="H3207" s="24" t="s">
        <v>27</v>
      </c>
      <c r="I3207" s="24" t="s">
        <v>3366</v>
      </c>
      <c r="J3207" s="14" t="s">
        <v>47</v>
      </c>
      <c r="K3207" s="15" t="s">
        <v>30</v>
      </c>
      <c r="L3207" s="57"/>
      <c r="M3207" s="14"/>
      <c r="N3207" s="14" t="s">
        <v>84</v>
      </c>
      <c r="O3207" s="14"/>
      <c r="P3207" s="15" t="s">
        <v>3533</v>
      </c>
      <c r="Q3207" s="16">
        <v>9899</v>
      </c>
      <c r="R3207" s="17">
        <v>40</v>
      </c>
      <c r="S3207" s="18">
        <v>6830.3099999999995</v>
      </c>
      <c r="T3207" s="19" t="s">
        <v>36</v>
      </c>
      <c r="U3207" s="20" t="s">
        <v>39</v>
      </c>
      <c r="V3207" s="21" t="s">
        <v>40</v>
      </c>
      <c r="W3207" s="22">
        <v>16</v>
      </c>
      <c r="X3207" s="23"/>
    </row>
    <row r="3208" spans="1:24" s="1" customFormat="1" ht="21" customHeight="1" x14ac:dyDescent="0.3">
      <c r="A3208" s="24" t="s">
        <v>23</v>
      </c>
      <c r="B3208" s="24" t="s">
        <v>3531</v>
      </c>
      <c r="C3208" s="27" t="s">
        <v>3532</v>
      </c>
      <c r="D3208" s="54"/>
      <c r="E3208" s="39" t="str">
        <f>HYPERLINK("https://www.google.ru/search?q=6009364-069&amp;newwindow=1&amp;tbm=isch","Еще фото")</f>
        <v>Еще фото</v>
      </c>
      <c r="F3208" s="13"/>
      <c r="G3208" s="24" t="s">
        <v>3366</v>
      </c>
      <c r="H3208" s="24" t="s">
        <v>27</v>
      </c>
      <c r="I3208" s="24" t="s">
        <v>3366</v>
      </c>
      <c r="J3208" s="14" t="s">
        <v>47</v>
      </c>
      <c r="K3208" s="15" t="s">
        <v>30</v>
      </c>
      <c r="L3208" s="57"/>
      <c r="M3208" s="14"/>
      <c r="N3208" s="14" t="s">
        <v>84</v>
      </c>
      <c r="O3208" s="14"/>
      <c r="P3208" s="15" t="s">
        <v>3533</v>
      </c>
      <c r="Q3208" s="16">
        <v>9899</v>
      </c>
      <c r="R3208" s="17">
        <v>40</v>
      </c>
      <c r="S3208" s="18">
        <v>6830.3099999999995</v>
      </c>
      <c r="T3208" s="19" t="s">
        <v>36</v>
      </c>
      <c r="U3208" s="20" t="s">
        <v>41</v>
      </c>
      <c r="V3208" s="21" t="s">
        <v>42</v>
      </c>
      <c r="W3208" s="22">
        <v>9</v>
      </c>
      <c r="X3208" s="23"/>
    </row>
    <row r="3209" spans="1:24" s="1" customFormat="1" ht="21" customHeight="1" x14ac:dyDescent="0.3">
      <c r="A3209" s="24" t="s">
        <v>23</v>
      </c>
      <c r="B3209" s="24" t="s">
        <v>3531</v>
      </c>
      <c r="C3209" s="27" t="s">
        <v>3532</v>
      </c>
      <c r="D3209" s="54"/>
      <c r="E3209" s="39" t="str">
        <f>HYPERLINK("https://www.google.ru/search?q=6009364-069&amp;newwindow=1&amp;tbm=isch","Еще фото")</f>
        <v>Еще фото</v>
      </c>
      <c r="F3209" s="13"/>
      <c r="G3209" s="24" t="s">
        <v>3366</v>
      </c>
      <c r="H3209" s="24" t="s">
        <v>27</v>
      </c>
      <c r="I3209" s="24" t="s">
        <v>3366</v>
      </c>
      <c r="J3209" s="14" t="s">
        <v>47</v>
      </c>
      <c r="K3209" s="15" t="s">
        <v>30</v>
      </c>
      <c r="L3209" s="57"/>
      <c r="M3209" s="14"/>
      <c r="N3209" s="14" t="s">
        <v>84</v>
      </c>
      <c r="O3209" s="14"/>
      <c r="P3209" s="15" t="s">
        <v>3533</v>
      </c>
      <c r="Q3209" s="16">
        <v>9899</v>
      </c>
      <c r="R3209" s="17">
        <v>40</v>
      </c>
      <c r="S3209" s="18">
        <v>6830.3099999999995</v>
      </c>
      <c r="T3209" s="19" t="s">
        <v>36</v>
      </c>
      <c r="U3209" s="20" t="s">
        <v>43</v>
      </c>
      <c r="V3209" s="21" t="s">
        <v>44</v>
      </c>
      <c r="W3209" s="22">
        <v>6</v>
      </c>
      <c r="X3209" s="23"/>
    </row>
    <row r="3210" spans="1:24" s="1" customFormat="1" ht="32.1" customHeight="1" x14ac:dyDescent="0.3">
      <c r="A3210" s="24" t="s">
        <v>23</v>
      </c>
      <c r="B3210" s="24" t="s">
        <v>3531</v>
      </c>
      <c r="C3210" s="27" t="s">
        <v>3532</v>
      </c>
      <c r="D3210" s="55"/>
      <c r="E3210" s="39" t="str">
        <f>HYPERLINK("https://www.google.ru/search?q=6009364-069&amp;newwindow=1&amp;tbm=isch","Еще фото")</f>
        <v>Еще фото</v>
      </c>
      <c r="F3210" s="13"/>
      <c r="G3210" s="24" t="s">
        <v>3366</v>
      </c>
      <c r="H3210" s="24" t="s">
        <v>27</v>
      </c>
      <c r="I3210" s="24" t="s">
        <v>3366</v>
      </c>
      <c r="J3210" s="14" t="s">
        <v>47</v>
      </c>
      <c r="K3210" s="15" t="s">
        <v>30</v>
      </c>
      <c r="L3210" s="58"/>
      <c r="M3210" s="14"/>
      <c r="N3210" s="14" t="s">
        <v>84</v>
      </c>
      <c r="O3210" s="14"/>
      <c r="P3210" s="15" t="s">
        <v>3533</v>
      </c>
      <c r="Q3210" s="16">
        <v>9899</v>
      </c>
      <c r="R3210" s="17">
        <v>40</v>
      </c>
      <c r="S3210" s="18">
        <v>6830.3099999999995</v>
      </c>
      <c r="T3210" s="19" t="s">
        <v>36</v>
      </c>
      <c r="U3210" s="20" t="s">
        <v>104</v>
      </c>
      <c r="V3210" s="21" t="s">
        <v>105</v>
      </c>
      <c r="W3210" s="22">
        <v>11</v>
      </c>
      <c r="X3210" s="23"/>
    </row>
    <row r="3211" spans="1:24" s="1" customFormat="1" ht="51.95" customHeight="1" x14ac:dyDescent="0.3">
      <c r="A3211" s="11" t="s">
        <v>23</v>
      </c>
      <c r="B3211" s="11" t="s">
        <v>3534</v>
      </c>
      <c r="C3211" s="12" t="s">
        <v>3535</v>
      </c>
      <c r="D3211" s="59"/>
      <c r="E3211" s="39" t="str">
        <f>HYPERLINK("https://www.google.ru/search?q=6009498-025&amp;newwindow=1&amp;tbm=isch","Еще фото")</f>
        <v>Еще фото</v>
      </c>
      <c r="F3211" s="13"/>
      <c r="G3211" s="11" t="s">
        <v>3366</v>
      </c>
      <c r="H3211" s="11" t="s">
        <v>27</v>
      </c>
      <c r="I3211" s="14" t="s">
        <v>3366</v>
      </c>
      <c r="J3211" s="14" t="s">
        <v>29</v>
      </c>
      <c r="K3211" s="15" t="s">
        <v>64</v>
      </c>
      <c r="L3211" s="56" t="s">
        <v>3536</v>
      </c>
      <c r="M3211" s="14"/>
      <c r="N3211" s="14" t="s">
        <v>84</v>
      </c>
      <c r="O3211" s="14"/>
      <c r="P3211" s="15" t="s">
        <v>3537</v>
      </c>
      <c r="Q3211" s="16">
        <v>6199</v>
      </c>
      <c r="R3211" s="17">
        <v>40</v>
      </c>
      <c r="S3211" s="18">
        <v>4277.3099999999995</v>
      </c>
      <c r="T3211" s="19" t="s">
        <v>36</v>
      </c>
      <c r="U3211" s="20" t="s">
        <v>37</v>
      </c>
      <c r="V3211" s="21" t="s">
        <v>86</v>
      </c>
      <c r="W3211" s="22">
        <v>1</v>
      </c>
      <c r="X3211" s="23"/>
    </row>
    <row r="3212" spans="1:24" s="1" customFormat="1" ht="60.95" customHeight="1" x14ac:dyDescent="0.3">
      <c r="A3212" s="24" t="s">
        <v>23</v>
      </c>
      <c r="B3212" s="24" t="s">
        <v>3534</v>
      </c>
      <c r="C3212" s="12" t="s">
        <v>3535</v>
      </c>
      <c r="D3212" s="60"/>
      <c r="E3212" s="39" t="str">
        <f>HYPERLINK("https://www.google.ru/search?q=6009498-025&amp;newwindow=1&amp;tbm=isch","Еще фото")</f>
        <v>Еще фото</v>
      </c>
      <c r="F3212" s="13"/>
      <c r="G3212" s="24" t="s">
        <v>3366</v>
      </c>
      <c r="H3212" s="24" t="s">
        <v>27</v>
      </c>
      <c r="I3212" s="24" t="s">
        <v>3366</v>
      </c>
      <c r="J3212" s="14" t="s">
        <v>29</v>
      </c>
      <c r="K3212" s="15" t="s">
        <v>64</v>
      </c>
      <c r="L3212" s="58"/>
      <c r="M3212" s="14"/>
      <c r="N3212" s="14" t="s">
        <v>84</v>
      </c>
      <c r="O3212" s="14"/>
      <c r="P3212" s="15" t="s">
        <v>3537</v>
      </c>
      <c r="Q3212" s="16">
        <v>6199</v>
      </c>
      <c r="R3212" s="17">
        <v>40</v>
      </c>
      <c r="S3212" s="18">
        <v>4277.3099999999995</v>
      </c>
      <c r="T3212" s="19" t="s">
        <v>36</v>
      </c>
      <c r="U3212" s="20" t="s">
        <v>41</v>
      </c>
      <c r="V3212" s="21" t="s">
        <v>40</v>
      </c>
      <c r="W3212" s="22">
        <v>2</v>
      </c>
      <c r="X3212" s="23"/>
    </row>
    <row r="3213" spans="1:24" s="1" customFormat="1" ht="51.95" customHeight="1" x14ac:dyDescent="0.3">
      <c r="A3213" s="11" t="s">
        <v>23</v>
      </c>
      <c r="B3213" s="11" t="s">
        <v>3538</v>
      </c>
      <c r="C3213" s="12" t="s">
        <v>3539</v>
      </c>
      <c r="D3213" s="59"/>
      <c r="E3213" s="39" t="str">
        <f>HYPERLINK("https://www.google.ru/search?q=6009519-713&amp;newwindow=1&amp;tbm=isch","Еще фото")</f>
        <v>Еще фото</v>
      </c>
      <c r="F3213" s="13"/>
      <c r="G3213" s="11" t="s">
        <v>3366</v>
      </c>
      <c r="H3213" s="11" t="s">
        <v>27</v>
      </c>
      <c r="I3213" s="14" t="s">
        <v>3366</v>
      </c>
      <c r="J3213" s="14" t="s">
        <v>29</v>
      </c>
      <c r="K3213" s="15" t="s">
        <v>30</v>
      </c>
      <c r="L3213" s="56" t="s">
        <v>3540</v>
      </c>
      <c r="M3213" s="14"/>
      <c r="N3213" s="14" t="s">
        <v>140</v>
      </c>
      <c r="O3213" s="14"/>
      <c r="P3213" s="15" t="s">
        <v>51</v>
      </c>
      <c r="Q3213" s="16">
        <v>6799</v>
      </c>
      <c r="R3213" s="17">
        <v>40</v>
      </c>
      <c r="S3213" s="18">
        <v>4691.3099999999995</v>
      </c>
      <c r="T3213" s="19" t="s">
        <v>36</v>
      </c>
      <c r="U3213" s="20" t="s">
        <v>39</v>
      </c>
      <c r="V3213" s="21" t="s">
        <v>40</v>
      </c>
      <c r="W3213" s="22">
        <v>2</v>
      </c>
      <c r="X3213" s="23"/>
    </row>
    <row r="3214" spans="1:24" s="1" customFormat="1" ht="60.95" customHeight="1" x14ac:dyDescent="0.3">
      <c r="A3214" s="24" t="s">
        <v>23</v>
      </c>
      <c r="B3214" s="24" t="s">
        <v>3538</v>
      </c>
      <c r="C3214" s="12" t="s">
        <v>3539</v>
      </c>
      <c r="D3214" s="60"/>
      <c r="E3214" s="39" t="str">
        <f>HYPERLINK("https://www.google.ru/search?q=6009519-713&amp;newwindow=1&amp;tbm=isch","Еще фото")</f>
        <v>Еще фото</v>
      </c>
      <c r="F3214" s="13"/>
      <c r="G3214" s="24" t="s">
        <v>3366</v>
      </c>
      <c r="H3214" s="24" t="s">
        <v>27</v>
      </c>
      <c r="I3214" s="24" t="s">
        <v>3366</v>
      </c>
      <c r="J3214" s="14" t="s">
        <v>29</v>
      </c>
      <c r="K3214" s="15" t="s">
        <v>30</v>
      </c>
      <c r="L3214" s="58"/>
      <c r="M3214" s="14"/>
      <c r="N3214" s="14" t="s">
        <v>140</v>
      </c>
      <c r="O3214" s="14"/>
      <c r="P3214" s="15" t="s">
        <v>51</v>
      </c>
      <c r="Q3214" s="16">
        <v>6799</v>
      </c>
      <c r="R3214" s="17">
        <v>40</v>
      </c>
      <c r="S3214" s="18">
        <v>4691.3099999999995</v>
      </c>
      <c r="T3214" s="19" t="s">
        <v>36</v>
      </c>
      <c r="U3214" s="20" t="s">
        <v>43</v>
      </c>
      <c r="V3214" s="21" t="s">
        <v>44</v>
      </c>
      <c r="W3214" s="22">
        <v>1</v>
      </c>
      <c r="X3214" s="23"/>
    </row>
    <row r="3215" spans="1:24" s="1" customFormat="1" ht="108" customHeight="1" x14ac:dyDescent="0.3">
      <c r="A3215" s="11" t="s">
        <v>23</v>
      </c>
      <c r="B3215" s="11" t="s">
        <v>3541</v>
      </c>
      <c r="C3215" s="12" t="s">
        <v>3542</v>
      </c>
      <c r="D3215" s="25"/>
      <c r="E3215" s="39" t="str">
        <f>HYPERLINK("https://www.google.ru/search?q=6009612-703&amp;newwindow=1&amp;tbm=isch","Еще фото")</f>
        <v>Еще фото</v>
      </c>
      <c r="F3215" s="13"/>
      <c r="G3215" s="11" t="s">
        <v>3366</v>
      </c>
      <c r="H3215" s="11" t="s">
        <v>27</v>
      </c>
      <c r="I3215" s="14" t="s">
        <v>3366</v>
      </c>
      <c r="J3215" s="14" t="s">
        <v>29</v>
      </c>
      <c r="K3215" s="15" t="s">
        <v>64</v>
      </c>
      <c r="L3215" s="14" t="s">
        <v>3543</v>
      </c>
      <c r="M3215" s="14"/>
      <c r="N3215" s="14" t="s">
        <v>50</v>
      </c>
      <c r="O3215" s="14"/>
      <c r="P3215" s="15" t="s">
        <v>779</v>
      </c>
      <c r="Q3215" s="16">
        <v>5599</v>
      </c>
      <c r="R3215" s="17">
        <v>40</v>
      </c>
      <c r="S3215" s="18">
        <v>3863.31</v>
      </c>
      <c r="T3215" s="19" t="s">
        <v>36</v>
      </c>
      <c r="U3215" s="20" t="s">
        <v>39</v>
      </c>
      <c r="V3215" s="21" t="s">
        <v>38</v>
      </c>
      <c r="W3215" s="22">
        <v>1</v>
      </c>
      <c r="X3215" s="23"/>
    </row>
    <row r="3216" spans="1:24" s="1" customFormat="1" ht="108" customHeight="1" x14ac:dyDescent="0.3">
      <c r="A3216" s="11" t="s">
        <v>23</v>
      </c>
      <c r="B3216" s="11" t="s">
        <v>3544</v>
      </c>
      <c r="C3216" s="12" t="s">
        <v>3545</v>
      </c>
      <c r="D3216" s="25"/>
      <c r="E3216" s="39" t="str">
        <f>HYPERLINK("https://www.google.ru/search?q=6009865-425&amp;newwindow=1&amp;tbm=isch","Еще фото")</f>
        <v>Еще фото</v>
      </c>
      <c r="F3216" s="13"/>
      <c r="G3216" s="11" t="s">
        <v>3366</v>
      </c>
      <c r="H3216" s="11" t="s">
        <v>27</v>
      </c>
      <c r="I3216" s="14" t="s">
        <v>3366</v>
      </c>
      <c r="J3216" s="14" t="s">
        <v>29</v>
      </c>
      <c r="K3216" s="15" t="s">
        <v>30</v>
      </c>
      <c r="L3216" s="14"/>
      <c r="M3216" s="14"/>
      <c r="N3216" s="14" t="s">
        <v>50</v>
      </c>
      <c r="O3216" s="14"/>
      <c r="P3216" s="15" t="s">
        <v>51</v>
      </c>
      <c r="Q3216" s="16">
        <v>4999</v>
      </c>
      <c r="R3216" s="17">
        <v>40</v>
      </c>
      <c r="S3216" s="18">
        <v>3449.31</v>
      </c>
      <c r="T3216" s="19" t="s">
        <v>36</v>
      </c>
      <c r="U3216" s="20" t="s">
        <v>37</v>
      </c>
      <c r="V3216" s="21" t="s">
        <v>38</v>
      </c>
      <c r="W3216" s="22">
        <v>2</v>
      </c>
      <c r="X3216" s="23"/>
    </row>
    <row r="3217" spans="1:24" s="1" customFormat="1" ht="21" customHeight="1" x14ac:dyDescent="0.3">
      <c r="A3217" s="11" t="s">
        <v>23</v>
      </c>
      <c r="B3217" s="11" t="s">
        <v>3546</v>
      </c>
      <c r="C3217" s="26" t="s">
        <v>3547</v>
      </c>
      <c r="D3217" s="53"/>
      <c r="E3217" s="39" t="str">
        <f>HYPERLINK("https://www.google.ru/search?q=6009896-100&amp;newwindow=1&amp;tbm=isch","Еще фото")</f>
        <v>Еще фото</v>
      </c>
      <c r="F3217" s="13"/>
      <c r="G3217" s="11" t="s">
        <v>3366</v>
      </c>
      <c r="H3217" s="11" t="s">
        <v>27</v>
      </c>
      <c r="I3217" s="14" t="s">
        <v>3366</v>
      </c>
      <c r="J3217" s="14" t="s">
        <v>506</v>
      </c>
      <c r="K3217" s="15" t="s">
        <v>30</v>
      </c>
      <c r="L3217" s="56"/>
      <c r="M3217" s="14"/>
      <c r="N3217" s="14" t="s">
        <v>74</v>
      </c>
      <c r="O3217" s="14"/>
      <c r="P3217" s="15" t="s">
        <v>51</v>
      </c>
      <c r="Q3217" s="16">
        <v>3199</v>
      </c>
      <c r="R3217" s="17">
        <v>40</v>
      </c>
      <c r="S3217" s="18">
        <v>2207.31</v>
      </c>
      <c r="T3217" s="19" t="s">
        <v>36</v>
      </c>
      <c r="U3217" s="20" t="s">
        <v>37</v>
      </c>
      <c r="V3217" s="21" t="s">
        <v>38</v>
      </c>
      <c r="W3217" s="22">
        <v>2</v>
      </c>
      <c r="X3217" s="23"/>
    </row>
    <row r="3218" spans="1:24" s="1" customFormat="1" ht="21" customHeight="1" x14ac:dyDescent="0.3">
      <c r="A3218" s="24" t="s">
        <v>23</v>
      </c>
      <c r="B3218" s="24" t="s">
        <v>3546</v>
      </c>
      <c r="C3218" s="27" t="s">
        <v>3547</v>
      </c>
      <c r="D3218" s="54"/>
      <c r="E3218" s="39" t="str">
        <f>HYPERLINK("https://www.google.ru/search?q=6009896-100&amp;newwindow=1&amp;tbm=isch","Еще фото")</f>
        <v>Еще фото</v>
      </c>
      <c r="F3218" s="13"/>
      <c r="G3218" s="24" t="s">
        <v>3366</v>
      </c>
      <c r="H3218" s="24" t="s">
        <v>27</v>
      </c>
      <c r="I3218" s="24" t="s">
        <v>3366</v>
      </c>
      <c r="J3218" s="14" t="s">
        <v>506</v>
      </c>
      <c r="K3218" s="15" t="s">
        <v>30</v>
      </c>
      <c r="L3218" s="57"/>
      <c r="M3218" s="14"/>
      <c r="N3218" s="14" t="s">
        <v>74</v>
      </c>
      <c r="O3218" s="14"/>
      <c r="P3218" s="15" t="s">
        <v>51</v>
      </c>
      <c r="Q3218" s="16">
        <v>3199</v>
      </c>
      <c r="R3218" s="17">
        <v>40</v>
      </c>
      <c r="S3218" s="18">
        <v>2207.31</v>
      </c>
      <c r="T3218" s="19" t="s">
        <v>36</v>
      </c>
      <c r="U3218" s="20" t="s">
        <v>39</v>
      </c>
      <c r="V3218" s="21" t="s">
        <v>40</v>
      </c>
      <c r="W3218" s="22">
        <v>3</v>
      </c>
      <c r="X3218" s="23"/>
    </row>
    <row r="3219" spans="1:24" s="1" customFormat="1" ht="21" customHeight="1" x14ac:dyDescent="0.3">
      <c r="A3219" s="24" t="s">
        <v>23</v>
      </c>
      <c r="B3219" s="24" t="s">
        <v>3546</v>
      </c>
      <c r="C3219" s="27" t="s">
        <v>3547</v>
      </c>
      <c r="D3219" s="54"/>
      <c r="E3219" s="39" t="str">
        <f>HYPERLINK("https://www.google.ru/search?q=6009896-100&amp;newwindow=1&amp;tbm=isch","Еще фото")</f>
        <v>Еще фото</v>
      </c>
      <c r="F3219" s="13"/>
      <c r="G3219" s="24" t="s">
        <v>3366</v>
      </c>
      <c r="H3219" s="24" t="s">
        <v>27</v>
      </c>
      <c r="I3219" s="24" t="s">
        <v>3366</v>
      </c>
      <c r="J3219" s="14" t="s">
        <v>506</v>
      </c>
      <c r="K3219" s="15" t="s">
        <v>30</v>
      </c>
      <c r="L3219" s="57"/>
      <c r="M3219" s="14"/>
      <c r="N3219" s="14" t="s">
        <v>74</v>
      </c>
      <c r="O3219" s="14"/>
      <c r="P3219" s="15" t="s">
        <v>51</v>
      </c>
      <c r="Q3219" s="16">
        <v>3199</v>
      </c>
      <c r="R3219" s="17">
        <v>40</v>
      </c>
      <c r="S3219" s="18">
        <v>2207.31</v>
      </c>
      <c r="T3219" s="19" t="s">
        <v>36</v>
      </c>
      <c r="U3219" s="20" t="s">
        <v>41</v>
      </c>
      <c r="V3219" s="21" t="s">
        <v>42</v>
      </c>
      <c r="W3219" s="22">
        <v>3</v>
      </c>
      <c r="X3219" s="23"/>
    </row>
    <row r="3220" spans="1:24" s="1" customFormat="1" ht="21" customHeight="1" x14ac:dyDescent="0.3">
      <c r="A3220" s="24" t="s">
        <v>23</v>
      </c>
      <c r="B3220" s="24" t="s">
        <v>3546</v>
      </c>
      <c r="C3220" s="27" t="s">
        <v>3547</v>
      </c>
      <c r="D3220" s="54"/>
      <c r="E3220" s="39" t="str">
        <f>HYPERLINK("https://www.google.ru/search?q=6009896-100&amp;newwindow=1&amp;tbm=isch","Еще фото")</f>
        <v>Еще фото</v>
      </c>
      <c r="F3220" s="13"/>
      <c r="G3220" s="24" t="s">
        <v>3366</v>
      </c>
      <c r="H3220" s="24" t="s">
        <v>27</v>
      </c>
      <c r="I3220" s="24" t="s">
        <v>3366</v>
      </c>
      <c r="J3220" s="14" t="s">
        <v>506</v>
      </c>
      <c r="K3220" s="15" t="s">
        <v>30</v>
      </c>
      <c r="L3220" s="57"/>
      <c r="M3220" s="14"/>
      <c r="N3220" s="14" t="s">
        <v>74</v>
      </c>
      <c r="O3220" s="14"/>
      <c r="P3220" s="15" t="s">
        <v>51</v>
      </c>
      <c r="Q3220" s="16">
        <v>3199</v>
      </c>
      <c r="R3220" s="17">
        <v>40</v>
      </c>
      <c r="S3220" s="18">
        <v>2207.31</v>
      </c>
      <c r="T3220" s="19" t="s">
        <v>36</v>
      </c>
      <c r="U3220" s="20" t="s">
        <v>43</v>
      </c>
      <c r="V3220" s="21" t="s">
        <v>44</v>
      </c>
      <c r="W3220" s="22">
        <v>3</v>
      </c>
      <c r="X3220" s="23"/>
    </row>
    <row r="3221" spans="1:24" s="1" customFormat="1" ht="32.1" customHeight="1" x14ac:dyDescent="0.3">
      <c r="A3221" s="24" t="s">
        <v>23</v>
      </c>
      <c r="B3221" s="24" t="s">
        <v>3546</v>
      </c>
      <c r="C3221" s="27" t="s">
        <v>3547</v>
      </c>
      <c r="D3221" s="55"/>
      <c r="E3221" s="39" t="str">
        <f>HYPERLINK("https://www.google.ru/search?q=6009896-100&amp;newwindow=1&amp;tbm=isch","Еще фото")</f>
        <v>Еще фото</v>
      </c>
      <c r="F3221" s="13"/>
      <c r="G3221" s="24" t="s">
        <v>3366</v>
      </c>
      <c r="H3221" s="24" t="s">
        <v>27</v>
      </c>
      <c r="I3221" s="24" t="s">
        <v>3366</v>
      </c>
      <c r="J3221" s="14" t="s">
        <v>506</v>
      </c>
      <c r="K3221" s="15" t="s">
        <v>30</v>
      </c>
      <c r="L3221" s="58"/>
      <c r="M3221" s="14"/>
      <c r="N3221" s="14" t="s">
        <v>74</v>
      </c>
      <c r="O3221" s="14"/>
      <c r="P3221" s="15" t="s">
        <v>51</v>
      </c>
      <c r="Q3221" s="16">
        <v>3199</v>
      </c>
      <c r="R3221" s="17">
        <v>40</v>
      </c>
      <c r="S3221" s="18">
        <v>2207.31</v>
      </c>
      <c r="T3221" s="19" t="s">
        <v>36</v>
      </c>
      <c r="U3221" s="20" t="s">
        <v>104</v>
      </c>
      <c r="V3221" s="21" t="s">
        <v>105</v>
      </c>
      <c r="W3221" s="22">
        <v>6</v>
      </c>
      <c r="X3221" s="23"/>
    </row>
    <row r="3222" spans="1:24" s="1" customFormat="1" ht="108" customHeight="1" x14ac:dyDescent="0.3">
      <c r="A3222" s="11" t="s">
        <v>23</v>
      </c>
      <c r="B3222" s="11" t="s">
        <v>3548</v>
      </c>
      <c r="C3222" s="12" t="s">
        <v>3549</v>
      </c>
      <c r="D3222" s="25"/>
      <c r="E3222" s="39" t="str">
        <f>HYPERLINK("https://www.google.ru/search?q=6009947-498&amp;newwindow=1&amp;tbm=isch","Еще фото")</f>
        <v>Еще фото</v>
      </c>
      <c r="F3222" s="13"/>
      <c r="G3222" s="11" t="s">
        <v>3366</v>
      </c>
      <c r="H3222" s="11" t="s">
        <v>27</v>
      </c>
      <c r="I3222" s="14" t="s">
        <v>3366</v>
      </c>
      <c r="J3222" s="14" t="s">
        <v>47</v>
      </c>
      <c r="K3222" s="15" t="s">
        <v>64</v>
      </c>
      <c r="L3222" s="14" t="s">
        <v>3550</v>
      </c>
      <c r="M3222" s="14"/>
      <c r="N3222" s="14" t="s">
        <v>91</v>
      </c>
      <c r="O3222" s="14"/>
      <c r="P3222" s="15" t="s">
        <v>51</v>
      </c>
      <c r="Q3222" s="16">
        <v>6499</v>
      </c>
      <c r="R3222" s="17">
        <v>40</v>
      </c>
      <c r="S3222" s="18">
        <v>4484.3099999999995</v>
      </c>
      <c r="T3222" s="19" t="s">
        <v>36</v>
      </c>
      <c r="U3222" s="20" t="s">
        <v>41</v>
      </c>
      <c r="V3222" s="21" t="s">
        <v>40</v>
      </c>
      <c r="W3222" s="22">
        <v>1</v>
      </c>
      <c r="X3222" s="23"/>
    </row>
    <row r="3223" spans="1:24" s="1" customFormat="1" ht="35.1" customHeight="1" x14ac:dyDescent="0.3">
      <c r="A3223" s="11" t="s">
        <v>23</v>
      </c>
      <c r="B3223" s="11" t="s">
        <v>3551</v>
      </c>
      <c r="C3223" s="12" t="s">
        <v>3552</v>
      </c>
      <c r="D3223" s="53"/>
      <c r="E3223" s="39" t="str">
        <f>HYPERLINK("https://www.google.ru/search?q=6010858-410&amp;newwindow=1&amp;tbm=isch","Еще фото")</f>
        <v>Еще фото</v>
      </c>
      <c r="F3223" s="13"/>
      <c r="G3223" s="11" t="s">
        <v>3366</v>
      </c>
      <c r="H3223" s="11" t="s">
        <v>27</v>
      </c>
      <c r="I3223" s="14" t="s">
        <v>3366</v>
      </c>
      <c r="J3223" s="14" t="s">
        <v>29</v>
      </c>
      <c r="K3223" s="15" t="s">
        <v>30</v>
      </c>
      <c r="L3223" s="56" t="s">
        <v>3553</v>
      </c>
      <c r="M3223" s="14"/>
      <c r="N3223" s="14" t="s">
        <v>91</v>
      </c>
      <c r="O3223" s="14"/>
      <c r="P3223" s="15" t="s">
        <v>269</v>
      </c>
      <c r="Q3223" s="16">
        <v>5899</v>
      </c>
      <c r="R3223" s="17">
        <v>40</v>
      </c>
      <c r="S3223" s="18">
        <v>4070.31</v>
      </c>
      <c r="T3223" s="19" t="s">
        <v>36</v>
      </c>
      <c r="U3223" s="20" t="s">
        <v>39</v>
      </c>
      <c r="V3223" s="21" t="s">
        <v>40</v>
      </c>
      <c r="W3223" s="22">
        <v>2</v>
      </c>
      <c r="X3223" s="23"/>
    </row>
    <row r="3224" spans="1:24" s="1" customFormat="1" ht="35.1" customHeight="1" x14ac:dyDescent="0.3">
      <c r="A3224" s="24" t="s">
        <v>23</v>
      </c>
      <c r="B3224" s="24" t="s">
        <v>3551</v>
      </c>
      <c r="C3224" s="12" t="s">
        <v>3552</v>
      </c>
      <c r="D3224" s="54"/>
      <c r="E3224" s="39" t="str">
        <f>HYPERLINK("https://www.google.ru/search?q=6010858-410&amp;newwindow=1&amp;tbm=isch","Еще фото")</f>
        <v>Еще фото</v>
      </c>
      <c r="F3224" s="13"/>
      <c r="G3224" s="24" t="s">
        <v>3366</v>
      </c>
      <c r="H3224" s="24" t="s">
        <v>27</v>
      </c>
      <c r="I3224" s="24" t="s">
        <v>3366</v>
      </c>
      <c r="J3224" s="14" t="s">
        <v>29</v>
      </c>
      <c r="K3224" s="15" t="s">
        <v>30</v>
      </c>
      <c r="L3224" s="57"/>
      <c r="M3224" s="14"/>
      <c r="N3224" s="14" t="s">
        <v>91</v>
      </c>
      <c r="O3224" s="14"/>
      <c r="P3224" s="15" t="s">
        <v>269</v>
      </c>
      <c r="Q3224" s="16">
        <v>5899</v>
      </c>
      <c r="R3224" s="17">
        <v>40</v>
      </c>
      <c r="S3224" s="18">
        <v>4070.31</v>
      </c>
      <c r="T3224" s="19" t="s">
        <v>36</v>
      </c>
      <c r="U3224" s="20" t="s">
        <v>41</v>
      </c>
      <c r="V3224" s="21" t="s">
        <v>42</v>
      </c>
      <c r="W3224" s="22">
        <v>2</v>
      </c>
      <c r="X3224" s="23"/>
    </row>
    <row r="3225" spans="1:24" s="1" customFormat="1" ht="36.950000000000003" customHeight="1" x14ac:dyDescent="0.3">
      <c r="A3225" s="24" t="s">
        <v>23</v>
      </c>
      <c r="B3225" s="24" t="s">
        <v>3551</v>
      </c>
      <c r="C3225" s="12" t="s">
        <v>3552</v>
      </c>
      <c r="D3225" s="55"/>
      <c r="E3225" s="39" t="str">
        <f>HYPERLINK("https://www.google.ru/search?q=6010858-410&amp;newwindow=1&amp;tbm=isch","Еще фото")</f>
        <v>Еще фото</v>
      </c>
      <c r="F3225" s="13"/>
      <c r="G3225" s="24" t="s">
        <v>3366</v>
      </c>
      <c r="H3225" s="24" t="s">
        <v>27</v>
      </c>
      <c r="I3225" s="24" t="s">
        <v>3366</v>
      </c>
      <c r="J3225" s="14" t="s">
        <v>29</v>
      </c>
      <c r="K3225" s="15" t="s">
        <v>30</v>
      </c>
      <c r="L3225" s="58"/>
      <c r="M3225" s="14"/>
      <c r="N3225" s="14" t="s">
        <v>91</v>
      </c>
      <c r="O3225" s="14"/>
      <c r="P3225" s="15" t="s">
        <v>269</v>
      </c>
      <c r="Q3225" s="16">
        <v>5899</v>
      </c>
      <c r="R3225" s="17">
        <v>40</v>
      </c>
      <c r="S3225" s="18">
        <v>4070.31</v>
      </c>
      <c r="T3225" s="19" t="s">
        <v>36</v>
      </c>
      <c r="U3225" s="20" t="s">
        <v>104</v>
      </c>
      <c r="V3225" s="21" t="s">
        <v>105</v>
      </c>
      <c r="W3225" s="22">
        <v>4</v>
      </c>
      <c r="X3225" s="23"/>
    </row>
    <row r="3226" spans="1:24" s="1" customFormat="1" ht="108" customHeight="1" x14ac:dyDescent="0.3">
      <c r="A3226" s="11" t="s">
        <v>23</v>
      </c>
      <c r="B3226" s="11" t="s">
        <v>3554</v>
      </c>
      <c r="C3226" s="12" t="s">
        <v>3555</v>
      </c>
      <c r="D3226" s="25"/>
      <c r="E3226" s="39" t="str">
        <f>HYPERLINK("https://www.google.ru/search?q=6011164-008&amp;newwindow=1&amp;tbm=isch","Еще фото")</f>
        <v>Еще фото</v>
      </c>
      <c r="F3226" s="13"/>
      <c r="G3226" s="11" t="s">
        <v>3366</v>
      </c>
      <c r="H3226" s="11" t="s">
        <v>27</v>
      </c>
      <c r="I3226" s="14" t="s">
        <v>3366</v>
      </c>
      <c r="J3226" s="14" t="s">
        <v>47</v>
      </c>
      <c r="K3226" s="15" t="s">
        <v>64</v>
      </c>
      <c r="L3226" s="14" t="s">
        <v>3556</v>
      </c>
      <c r="M3226" s="14"/>
      <c r="N3226" s="14" t="s">
        <v>33</v>
      </c>
      <c r="O3226" s="14"/>
      <c r="P3226" s="15" t="s">
        <v>3557</v>
      </c>
      <c r="Q3226" s="16">
        <v>6599</v>
      </c>
      <c r="R3226" s="17">
        <v>40</v>
      </c>
      <c r="S3226" s="18">
        <v>4553.3099999999995</v>
      </c>
      <c r="T3226" s="19" t="s">
        <v>36</v>
      </c>
      <c r="U3226" s="20" t="s">
        <v>39</v>
      </c>
      <c r="V3226" s="21" t="s">
        <v>38</v>
      </c>
      <c r="W3226" s="22">
        <v>1</v>
      </c>
      <c r="X3226" s="23"/>
    </row>
    <row r="3227" spans="1:24" s="1" customFormat="1" ht="35.1" customHeight="1" x14ac:dyDescent="0.3">
      <c r="A3227" s="11" t="s">
        <v>23</v>
      </c>
      <c r="B3227" s="11" t="s">
        <v>3558</v>
      </c>
      <c r="C3227" s="12" t="s">
        <v>3559</v>
      </c>
      <c r="D3227" s="53"/>
      <c r="E3227" s="39" t="str">
        <f>HYPERLINK("https://www.google.ru/search?q=6011370-014&amp;newwindow=1&amp;tbm=isch","Еще фото")</f>
        <v>Еще фото</v>
      </c>
      <c r="F3227" s="13" t="s">
        <v>98</v>
      </c>
      <c r="G3227" s="11" t="s">
        <v>3366</v>
      </c>
      <c r="H3227" s="11" t="s">
        <v>27</v>
      </c>
      <c r="I3227" s="14" t="s">
        <v>3366</v>
      </c>
      <c r="J3227" s="14" t="s">
        <v>892</v>
      </c>
      <c r="K3227" s="15" t="s">
        <v>30</v>
      </c>
      <c r="L3227" s="56" t="s">
        <v>3560</v>
      </c>
      <c r="M3227" s="14"/>
      <c r="N3227" s="14" t="s">
        <v>84</v>
      </c>
      <c r="O3227" s="14"/>
      <c r="P3227" s="15" t="s">
        <v>51</v>
      </c>
      <c r="Q3227" s="16">
        <v>4699</v>
      </c>
      <c r="R3227" s="17">
        <v>40</v>
      </c>
      <c r="S3227" s="18">
        <v>3242.31</v>
      </c>
      <c r="T3227" s="19" t="s">
        <v>36</v>
      </c>
      <c r="U3227" s="20" t="s">
        <v>39</v>
      </c>
      <c r="V3227" s="21" t="s">
        <v>40</v>
      </c>
      <c r="W3227" s="22">
        <v>1</v>
      </c>
      <c r="X3227" s="23"/>
    </row>
    <row r="3228" spans="1:24" s="1" customFormat="1" ht="35.1" customHeight="1" x14ac:dyDescent="0.3">
      <c r="A3228" s="24" t="s">
        <v>23</v>
      </c>
      <c r="B3228" s="24" t="s">
        <v>3558</v>
      </c>
      <c r="C3228" s="12" t="s">
        <v>3559</v>
      </c>
      <c r="D3228" s="54"/>
      <c r="E3228" s="39" t="str">
        <f>HYPERLINK("https://www.google.ru/search?q=6011370-014&amp;newwindow=1&amp;tbm=isch","Еще фото")</f>
        <v>Еще фото</v>
      </c>
      <c r="F3228" s="13" t="s">
        <v>98</v>
      </c>
      <c r="G3228" s="24" t="s">
        <v>3366</v>
      </c>
      <c r="H3228" s="24" t="s">
        <v>27</v>
      </c>
      <c r="I3228" s="24" t="s">
        <v>3366</v>
      </c>
      <c r="J3228" s="14" t="s">
        <v>892</v>
      </c>
      <c r="K3228" s="15" t="s">
        <v>30</v>
      </c>
      <c r="L3228" s="57"/>
      <c r="M3228" s="14"/>
      <c r="N3228" s="14" t="s">
        <v>84</v>
      </c>
      <c r="O3228" s="14"/>
      <c r="P3228" s="15" t="s">
        <v>51</v>
      </c>
      <c r="Q3228" s="16">
        <v>4699</v>
      </c>
      <c r="R3228" s="17">
        <v>40</v>
      </c>
      <c r="S3228" s="18">
        <v>3242.31</v>
      </c>
      <c r="T3228" s="19" t="s">
        <v>36</v>
      </c>
      <c r="U3228" s="20" t="s">
        <v>43</v>
      </c>
      <c r="V3228" s="21" t="s">
        <v>44</v>
      </c>
      <c r="W3228" s="22">
        <v>1</v>
      </c>
      <c r="X3228" s="23"/>
    </row>
    <row r="3229" spans="1:24" s="1" customFormat="1" ht="36.950000000000003" customHeight="1" x14ac:dyDescent="0.3">
      <c r="A3229" s="24" t="s">
        <v>23</v>
      </c>
      <c r="B3229" s="24" t="s">
        <v>3558</v>
      </c>
      <c r="C3229" s="12" t="s">
        <v>3559</v>
      </c>
      <c r="D3229" s="55"/>
      <c r="E3229" s="39" t="str">
        <f>HYPERLINK("https://www.google.ru/search?q=6011370-014&amp;newwindow=1&amp;tbm=isch","Еще фото")</f>
        <v>Еще фото</v>
      </c>
      <c r="F3229" s="13" t="s">
        <v>98</v>
      </c>
      <c r="G3229" s="24" t="s">
        <v>3366</v>
      </c>
      <c r="H3229" s="24" t="s">
        <v>27</v>
      </c>
      <c r="I3229" s="24" t="s">
        <v>3366</v>
      </c>
      <c r="J3229" s="14" t="s">
        <v>892</v>
      </c>
      <c r="K3229" s="15" t="s">
        <v>30</v>
      </c>
      <c r="L3229" s="58"/>
      <c r="M3229" s="14"/>
      <c r="N3229" s="14" t="s">
        <v>84</v>
      </c>
      <c r="O3229" s="14"/>
      <c r="P3229" s="15" t="s">
        <v>51</v>
      </c>
      <c r="Q3229" s="16">
        <v>4699</v>
      </c>
      <c r="R3229" s="17">
        <v>40</v>
      </c>
      <c r="S3229" s="18">
        <v>3242.31</v>
      </c>
      <c r="T3229" s="19" t="s">
        <v>36</v>
      </c>
      <c r="U3229" s="20" t="s">
        <v>104</v>
      </c>
      <c r="V3229" s="21" t="s">
        <v>105</v>
      </c>
      <c r="W3229" s="22">
        <v>1</v>
      </c>
      <c r="X3229" s="23"/>
    </row>
    <row r="3230" spans="1:24" s="1" customFormat="1" ht="35.1" customHeight="1" x14ac:dyDescent="0.3">
      <c r="A3230" s="11" t="s">
        <v>23</v>
      </c>
      <c r="B3230" s="11" t="s">
        <v>3558</v>
      </c>
      <c r="C3230" s="12" t="s">
        <v>3561</v>
      </c>
      <c r="D3230" s="53"/>
      <c r="E3230" s="39" t="str">
        <f>HYPERLINK("https://www.google.ru/search?q=6011370-016&amp;newwindow=1&amp;tbm=isch","Еще фото")</f>
        <v>Еще фото</v>
      </c>
      <c r="F3230" s="13"/>
      <c r="G3230" s="11" t="s">
        <v>3366</v>
      </c>
      <c r="H3230" s="11" t="s">
        <v>27</v>
      </c>
      <c r="I3230" s="14" t="s">
        <v>3366</v>
      </c>
      <c r="J3230" s="14" t="s">
        <v>892</v>
      </c>
      <c r="K3230" s="15" t="s">
        <v>30</v>
      </c>
      <c r="L3230" s="56"/>
      <c r="M3230" s="14"/>
      <c r="N3230" s="14" t="s">
        <v>84</v>
      </c>
      <c r="O3230" s="14"/>
      <c r="P3230" s="15" t="s">
        <v>51</v>
      </c>
      <c r="Q3230" s="16">
        <v>4699</v>
      </c>
      <c r="R3230" s="17">
        <v>40</v>
      </c>
      <c r="S3230" s="18">
        <v>3242.31</v>
      </c>
      <c r="T3230" s="19" t="s">
        <v>36</v>
      </c>
      <c r="U3230" s="20" t="s">
        <v>37</v>
      </c>
      <c r="V3230" s="21" t="s">
        <v>38</v>
      </c>
      <c r="W3230" s="22">
        <v>4</v>
      </c>
      <c r="X3230" s="23"/>
    </row>
    <row r="3231" spans="1:24" s="1" customFormat="1" ht="35.1" customHeight="1" x14ac:dyDescent="0.3">
      <c r="A3231" s="24" t="s">
        <v>23</v>
      </c>
      <c r="B3231" s="24" t="s">
        <v>3558</v>
      </c>
      <c r="C3231" s="12" t="s">
        <v>3561</v>
      </c>
      <c r="D3231" s="54"/>
      <c r="E3231" s="39" t="str">
        <f>HYPERLINK("https://www.google.ru/search?q=6011370-016&amp;newwindow=1&amp;tbm=isch","Еще фото")</f>
        <v>Еще фото</v>
      </c>
      <c r="F3231" s="13"/>
      <c r="G3231" s="24" t="s">
        <v>3366</v>
      </c>
      <c r="H3231" s="24" t="s">
        <v>27</v>
      </c>
      <c r="I3231" s="24" t="s">
        <v>3366</v>
      </c>
      <c r="J3231" s="14" t="s">
        <v>892</v>
      </c>
      <c r="K3231" s="15" t="s">
        <v>30</v>
      </c>
      <c r="L3231" s="57"/>
      <c r="M3231" s="14"/>
      <c r="N3231" s="14" t="s">
        <v>84</v>
      </c>
      <c r="O3231" s="14"/>
      <c r="P3231" s="15" t="s">
        <v>51</v>
      </c>
      <c r="Q3231" s="16">
        <v>4699</v>
      </c>
      <c r="R3231" s="17">
        <v>40</v>
      </c>
      <c r="S3231" s="18">
        <v>3242.31</v>
      </c>
      <c r="T3231" s="19" t="s">
        <v>36</v>
      </c>
      <c r="U3231" s="20" t="s">
        <v>41</v>
      </c>
      <c r="V3231" s="21" t="s">
        <v>42</v>
      </c>
      <c r="W3231" s="22">
        <v>2</v>
      </c>
      <c r="X3231" s="23"/>
    </row>
    <row r="3232" spans="1:24" s="1" customFormat="1" ht="36.950000000000003" customHeight="1" x14ac:dyDescent="0.3">
      <c r="A3232" s="24" t="s">
        <v>23</v>
      </c>
      <c r="B3232" s="24" t="s">
        <v>3558</v>
      </c>
      <c r="C3232" s="12" t="s">
        <v>3561</v>
      </c>
      <c r="D3232" s="55"/>
      <c r="E3232" s="39" t="str">
        <f>HYPERLINK("https://www.google.ru/search?q=6011370-016&amp;newwindow=1&amp;tbm=isch","Еще фото")</f>
        <v>Еще фото</v>
      </c>
      <c r="F3232" s="13"/>
      <c r="G3232" s="24" t="s">
        <v>3366</v>
      </c>
      <c r="H3232" s="24" t="s">
        <v>27</v>
      </c>
      <c r="I3232" s="24" t="s">
        <v>3366</v>
      </c>
      <c r="J3232" s="14" t="s">
        <v>892</v>
      </c>
      <c r="K3232" s="15" t="s">
        <v>30</v>
      </c>
      <c r="L3232" s="58"/>
      <c r="M3232" s="14"/>
      <c r="N3232" s="14" t="s">
        <v>84</v>
      </c>
      <c r="O3232" s="14"/>
      <c r="P3232" s="15" t="s">
        <v>51</v>
      </c>
      <c r="Q3232" s="16">
        <v>4699</v>
      </c>
      <c r="R3232" s="17">
        <v>40</v>
      </c>
      <c r="S3232" s="18">
        <v>3242.31</v>
      </c>
      <c r="T3232" s="19" t="s">
        <v>36</v>
      </c>
      <c r="U3232" s="20" t="s">
        <v>104</v>
      </c>
      <c r="V3232" s="21" t="s">
        <v>105</v>
      </c>
      <c r="W3232" s="22">
        <v>1</v>
      </c>
      <c r="X3232" s="23"/>
    </row>
    <row r="3233" spans="1:24" s="1" customFormat="1" ht="35.1" customHeight="1" x14ac:dyDescent="0.3">
      <c r="A3233" s="11" t="s">
        <v>23</v>
      </c>
      <c r="B3233" s="11" t="s">
        <v>3562</v>
      </c>
      <c r="C3233" s="12" t="s">
        <v>3563</v>
      </c>
      <c r="D3233" s="53"/>
      <c r="E3233" s="39" t="str">
        <f>HYPERLINK("https://www.google.ru/search?q=1387538-002&amp;newwindow=1&amp;tbm=isch","Еще фото")</f>
        <v>Еще фото</v>
      </c>
      <c r="F3233" s="13" t="s">
        <v>98</v>
      </c>
      <c r="G3233" s="11" t="s">
        <v>3564</v>
      </c>
      <c r="H3233" s="11" t="s">
        <v>27</v>
      </c>
      <c r="I3233" s="14" t="s">
        <v>3565</v>
      </c>
      <c r="J3233" s="14" t="s">
        <v>29</v>
      </c>
      <c r="K3233" s="15" t="s">
        <v>64</v>
      </c>
      <c r="L3233" s="56" t="s">
        <v>3566</v>
      </c>
      <c r="M3233" s="14"/>
      <c r="N3233" s="14" t="s">
        <v>33</v>
      </c>
      <c r="O3233" s="14"/>
      <c r="P3233" s="15" t="s">
        <v>391</v>
      </c>
      <c r="Q3233" s="16">
        <v>6199</v>
      </c>
      <c r="R3233" s="17">
        <v>40</v>
      </c>
      <c r="S3233" s="18">
        <v>4277.3099999999995</v>
      </c>
      <c r="T3233" s="19" t="s">
        <v>36</v>
      </c>
      <c r="U3233" s="20" t="s">
        <v>69</v>
      </c>
      <c r="V3233" s="21" t="s">
        <v>70</v>
      </c>
      <c r="W3233" s="22">
        <v>2</v>
      </c>
      <c r="X3233" s="23"/>
    </row>
    <row r="3234" spans="1:24" s="1" customFormat="1" ht="35.1" customHeight="1" x14ac:dyDescent="0.3">
      <c r="A3234" s="24" t="s">
        <v>23</v>
      </c>
      <c r="B3234" s="24" t="s">
        <v>3562</v>
      </c>
      <c r="C3234" s="12" t="s">
        <v>3563</v>
      </c>
      <c r="D3234" s="54"/>
      <c r="E3234" s="39" t="str">
        <f>HYPERLINK("https://www.google.ru/search?q=1387538-002&amp;newwindow=1&amp;tbm=isch","Еще фото")</f>
        <v>Еще фото</v>
      </c>
      <c r="F3234" s="13" t="s">
        <v>98</v>
      </c>
      <c r="G3234" s="24" t="s">
        <v>3564</v>
      </c>
      <c r="H3234" s="24" t="s">
        <v>27</v>
      </c>
      <c r="I3234" s="24" t="s">
        <v>3565</v>
      </c>
      <c r="J3234" s="14" t="s">
        <v>29</v>
      </c>
      <c r="K3234" s="15" t="s">
        <v>64</v>
      </c>
      <c r="L3234" s="57"/>
      <c r="M3234" s="14"/>
      <c r="N3234" s="14" t="s">
        <v>33</v>
      </c>
      <c r="O3234" s="14"/>
      <c r="P3234" s="15" t="s">
        <v>391</v>
      </c>
      <c r="Q3234" s="16">
        <v>6199</v>
      </c>
      <c r="R3234" s="17">
        <v>40</v>
      </c>
      <c r="S3234" s="18">
        <v>4277.3099999999995</v>
      </c>
      <c r="T3234" s="19" t="s">
        <v>36</v>
      </c>
      <c r="U3234" s="20" t="s">
        <v>39</v>
      </c>
      <c r="V3234" s="21" t="s">
        <v>38</v>
      </c>
      <c r="W3234" s="22">
        <v>1</v>
      </c>
      <c r="X3234" s="23"/>
    </row>
    <row r="3235" spans="1:24" s="1" customFormat="1" ht="36.950000000000003" customHeight="1" x14ac:dyDescent="0.3">
      <c r="A3235" s="24" t="s">
        <v>23</v>
      </c>
      <c r="B3235" s="24" t="s">
        <v>3562</v>
      </c>
      <c r="C3235" s="12" t="s">
        <v>3563</v>
      </c>
      <c r="D3235" s="55"/>
      <c r="E3235" s="39" t="str">
        <f>HYPERLINK("https://www.google.ru/search?q=1387538-002&amp;newwindow=1&amp;tbm=isch","Еще фото")</f>
        <v>Еще фото</v>
      </c>
      <c r="F3235" s="13" t="s">
        <v>98</v>
      </c>
      <c r="G3235" s="24" t="s">
        <v>3564</v>
      </c>
      <c r="H3235" s="24" t="s">
        <v>27</v>
      </c>
      <c r="I3235" s="24" t="s">
        <v>3565</v>
      </c>
      <c r="J3235" s="14" t="s">
        <v>29</v>
      </c>
      <c r="K3235" s="15" t="s">
        <v>64</v>
      </c>
      <c r="L3235" s="58"/>
      <c r="M3235" s="14"/>
      <c r="N3235" s="14" t="s">
        <v>33</v>
      </c>
      <c r="O3235" s="14"/>
      <c r="P3235" s="15" t="s">
        <v>391</v>
      </c>
      <c r="Q3235" s="16">
        <v>6199</v>
      </c>
      <c r="R3235" s="17">
        <v>40</v>
      </c>
      <c r="S3235" s="18">
        <v>4277.3099999999995</v>
      </c>
      <c r="T3235" s="19" t="s">
        <v>36</v>
      </c>
      <c r="U3235" s="20" t="s">
        <v>41</v>
      </c>
      <c r="V3235" s="21" t="s">
        <v>40</v>
      </c>
      <c r="W3235" s="22">
        <v>1</v>
      </c>
      <c r="X3235" s="23"/>
    </row>
  </sheetData>
  <autoFilter ref="A3:X3235" xr:uid="{00000000-0009-0000-0000-000000000000}"/>
  <mergeCells count="1558">
    <mergeCell ref="D4:D7"/>
    <mergeCell ref="L4:L7"/>
    <mergeCell ref="D11:D15"/>
    <mergeCell ref="L11:L15"/>
    <mergeCell ref="D16:D17"/>
    <mergeCell ref="L16:L17"/>
    <mergeCell ref="D18:D19"/>
    <mergeCell ref="L18:L19"/>
    <mergeCell ref="D20:D26"/>
    <mergeCell ref="L20:L26"/>
    <mergeCell ref="D27:D28"/>
    <mergeCell ref="L27:L28"/>
    <mergeCell ref="D29:D33"/>
    <mergeCell ref="L29:L33"/>
    <mergeCell ref="D36:D38"/>
    <mergeCell ref="L36:L38"/>
    <mergeCell ref="D40:D44"/>
    <mergeCell ref="L40:L44"/>
    <mergeCell ref="D45:D47"/>
    <mergeCell ref="L45:L47"/>
    <mergeCell ref="D48:D50"/>
    <mergeCell ref="L48:L50"/>
    <mergeCell ref="D51:D55"/>
    <mergeCell ref="L51:L55"/>
    <mergeCell ref="D58:D61"/>
    <mergeCell ref="L58:L61"/>
    <mergeCell ref="D62:D65"/>
    <mergeCell ref="L62:L65"/>
    <mergeCell ref="D66:D68"/>
    <mergeCell ref="L66:L68"/>
    <mergeCell ref="D69:D70"/>
    <mergeCell ref="L69:L70"/>
    <mergeCell ref="D71:D74"/>
    <mergeCell ref="L71:L74"/>
    <mergeCell ref="D86:D88"/>
    <mergeCell ref="L86:L88"/>
    <mergeCell ref="D89:D93"/>
    <mergeCell ref="L89:L93"/>
    <mergeCell ref="D94:D98"/>
    <mergeCell ref="L94:L98"/>
    <mergeCell ref="D99:D102"/>
    <mergeCell ref="L99:L102"/>
    <mergeCell ref="D123:D125"/>
    <mergeCell ref="L123:L125"/>
    <mergeCell ref="D127:D131"/>
    <mergeCell ref="L127:L131"/>
    <mergeCell ref="D133:D134"/>
    <mergeCell ref="L133:L134"/>
    <mergeCell ref="D135:D136"/>
    <mergeCell ref="L135:L136"/>
    <mergeCell ref="D138:D139"/>
    <mergeCell ref="L138:L139"/>
    <mergeCell ref="D141:D142"/>
    <mergeCell ref="L141:L142"/>
    <mergeCell ref="D146:D149"/>
    <mergeCell ref="L146:L149"/>
    <mergeCell ref="D150:D151"/>
    <mergeCell ref="L150:L151"/>
    <mergeCell ref="D155:D156"/>
    <mergeCell ref="L155:L156"/>
    <mergeCell ref="D158:D161"/>
    <mergeCell ref="L158:L161"/>
    <mergeCell ref="D167:D169"/>
    <mergeCell ref="L167:L169"/>
    <mergeCell ref="D171:D173"/>
    <mergeCell ref="L171:L173"/>
    <mergeCell ref="D174:D176"/>
    <mergeCell ref="L174:L176"/>
    <mergeCell ref="D177:D178"/>
    <mergeCell ref="L177:L178"/>
    <mergeCell ref="D179:D180"/>
    <mergeCell ref="L179:L180"/>
    <mergeCell ref="D181:D184"/>
    <mergeCell ref="L181:L184"/>
    <mergeCell ref="D188:D189"/>
    <mergeCell ref="L188:L189"/>
    <mergeCell ref="D190:D192"/>
    <mergeCell ref="L190:L192"/>
    <mergeCell ref="D195:D197"/>
    <mergeCell ref="L195:L197"/>
    <mergeCell ref="D198:D200"/>
    <mergeCell ref="L198:L200"/>
    <mergeCell ref="D201:D205"/>
    <mergeCell ref="L201:L205"/>
    <mergeCell ref="D207:D209"/>
    <mergeCell ref="L207:L209"/>
    <mergeCell ref="D210:D211"/>
    <mergeCell ref="L210:L211"/>
    <mergeCell ref="D212:D216"/>
    <mergeCell ref="L212:L216"/>
    <mergeCell ref="D217:D221"/>
    <mergeCell ref="L217:L221"/>
    <mergeCell ref="D222:D223"/>
    <mergeCell ref="L222:L223"/>
    <mergeCell ref="D227:D228"/>
    <mergeCell ref="L227:L228"/>
    <mergeCell ref="D229:D231"/>
    <mergeCell ref="L229:L231"/>
    <mergeCell ref="D236:D240"/>
    <mergeCell ref="L236:L240"/>
    <mergeCell ref="D241:D244"/>
    <mergeCell ref="L241:L244"/>
    <mergeCell ref="D245:D246"/>
    <mergeCell ref="L245:L246"/>
    <mergeCell ref="D248:D250"/>
    <mergeCell ref="L248:L250"/>
    <mergeCell ref="D252:D253"/>
    <mergeCell ref="L252:L253"/>
    <mergeCell ref="D254:D255"/>
    <mergeCell ref="L254:L255"/>
    <mergeCell ref="D257:D258"/>
    <mergeCell ref="L257:L258"/>
    <mergeCell ref="D259:D261"/>
    <mergeCell ref="L259:L261"/>
    <mergeCell ref="D263:D265"/>
    <mergeCell ref="L263:L265"/>
    <mergeCell ref="D266:D267"/>
    <mergeCell ref="L266:L267"/>
    <mergeCell ref="D268:D271"/>
    <mergeCell ref="L268:L271"/>
    <mergeCell ref="D272:D273"/>
    <mergeCell ref="L272:L273"/>
    <mergeCell ref="D274:D277"/>
    <mergeCell ref="L274:L277"/>
    <mergeCell ref="D282:D284"/>
    <mergeCell ref="L282:L284"/>
    <mergeCell ref="D286:D287"/>
    <mergeCell ref="L286:L287"/>
    <mergeCell ref="D289:D290"/>
    <mergeCell ref="L289:L290"/>
    <mergeCell ref="D291:D293"/>
    <mergeCell ref="L291:L293"/>
    <mergeCell ref="D294:D295"/>
    <mergeCell ref="L294:L295"/>
    <mergeCell ref="D296:D297"/>
    <mergeCell ref="L296:L297"/>
    <mergeCell ref="D298:D299"/>
    <mergeCell ref="L298:L299"/>
    <mergeCell ref="D300:D301"/>
    <mergeCell ref="L300:L301"/>
    <mergeCell ref="D303:D304"/>
    <mergeCell ref="L303:L304"/>
    <mergeCell ref="D305:D308"/>
    <mergeCell ref="L305:L308"/>
    <mergeCell ref="D309:D310"/>
    <mergeCell ref="L309:L310"/>
    <mergeCell ref="D312:D313"/>
    <mergeCell ref="L312:L313"/>
    <mergeCell ref="D316:D320"/>
    <mergeCell ref="L316:L320"/>
    <mergeCell ref="D323:D327"/>
    <mergeCell ref="L323:L327"/>
    <mergeCell ref="D328:D330"/>
    <mergeCell ref="L328:L330"/>
    <mergeCell ref="D331:D335"/>
    <mergeCell ref="L331:L335"/>
    <mergeCell ref="D337:D339"/>
    <mergeCell ref="L337:L339"/>
    <mergeCell ref="D340:D342"/>
    <mergeCell ref="L340:L342"/>
    <mergeCell ref="D345:D346"/>
    <mergeCell ref="L345:L346"/>
    <mergeCell ref="D347:D351"/>
    <mergeCell ref="L347:L351"/>
    <mergeCell ref="D353:D354"/>
    <mergeCell ref="L353:L354"/>
    <mergeCell ref="D355:D359"/>
    <mergeCell ref="L355:L359"/>
    <mergeCell ref="D360:D361"/>
    <mergeCell ref="L360:L361"/>
    <mergeCell ref="D362:D363"/>
    <mergeCell ref="L362:L363"/>
    <mergeCell ref="D364:D365"/>
    <mergeCell ref="L364:L365"/>
    <mergeCell ref="D367:D368"/>
    <mergeCell ref="L367:L368"/>
    <mergeCell ref="D369:D370"/>
    <mergeCell ref="L369:L370"/>
    <mergeCell ref="D371:D373"/>
    <mergeCell ref="L371:L373"/>
    <mergeCell ref="D374:D375"/>
    <mergeCell ref="L374:L375"/>
    <mergeCell ref="D376:D380"/>
    <mergeCell ref="L376:L380"/>
    <mergeCell ref="D381:D385"/>
    <mergeCell ref="L381:L385"/>
    <mergeCell ref="D386:D389"/>
    <mergeCell ref="L386:L389"/>
    <mergeCell ref="D391:D392"/>
    <mergeCell ref="L391:L392"/>
    <mergeCell ref="D393:D403"/>
    <mergeCell ref="L393:L403"/>
    <mergeCell ref="D404:D409"/>
    <mergeCell ref="L404:L409"/>
    <mergeCell ref="D413:D415"/>
    <mergeCell ref="L413:L415"/>
    <mergeCell ref="D416:D417"/>
    <mergeCell ref="L416:L417"/>
    <mergeCell ref="D418:D422"/>
    <mergeCell ref="L418:L422"/>
    <mergeCell ref="D423:D426"/>
    <mergeCell ref="L423:L426"/>
    <mergeCell ref="D427:D430"/>
    <mergeCell ref="L427:L430"/>
    <mergeCell ref="D431:D435"/>
    <mergeCell ref="L431:L435"/>
    <mergeCell ref="D436:D438"/>
    <mergeCell ref="L436:L438"/>
    <mergeCell ref="D439:D441"/>
    <mergeCell ref="L439:L441"/>
    <mergeCell ref="D442:D446"/>
    <mergeCell ref="L442:L446"/>
    <mergeCell ref="D447:D448"/>
    <mergeCell ref="L447:L448"/>
    <mergeCell ref="D449:D451"/>
    <mergeCell ref="L449:L451"/>
    <mergeCell ref="D452:D454"/>
    <mergeCell ref="L452:L454"/>
    <mergeCell ref="D458:D461"/>
    <mergeCell ref="L458:L461"/>
    <mergeCell ref="D462:D464"/>
    <mergeCell ref="L462:L464"/>
    <mergeCell ref="D465:D467"/>
    <mergeCell ref="L465:L467"/>
    <mergeCell ref="D468:D470"/>
    <mergeCell ref="L468:L470"/>
    <mergeCell ref="D472:D476"/>
    <mergeCell ref="L472:L476"/>
    <mergeCell ref="D482:D483"/>
    <mergeCell ref="L482:L483"/>
    <mergeCell ref="D484:D486"/>
    <mergeCell ref="L484:L486"/>
    <mergeCell ref="D488:D492"/>
    <mergeCell ref="L488:L492"/>
    <mergeCell ref="D493:D496"/>
    <mergeCell ref="L493:L496"/>
    <mergeCell ref="D498:D503"/>
    <mergeCell ref="L498:L503"/>
    <mergeCell ref="D504:D506"/>
    <mergeCell ref="L504:L506"/>
    <mergeCell ref="D507:D508"/>
    <mergeCell ref="L507:L508"/>
    <mergeCell ref="D509:D512"/>
    <mergeCell ref="L509:L512"/>
    <mergeCell ref="D513:D514"/>
    <mergeCell ref="L513:L514"/>
    <mergeCell ref="D515:D519"/>
    <mergeCell ref="L515:L519"/>
    <mergeCell ref="D520:D523"/>
    <mergeCell ref="L520:L523"/>
    <mergeCell ref="D524:D528"/>
    <mergeCell ref="L524:L528"/>
    <mergeCell ref="D538:D539"/>
    <mergeCell ref="L538:L539"/>
    <mergeCell ref="D543:D544"/>
    <mergeCell ref="L543:L544"/>
    <mergeCell ref="D546:D548"/>
    <mergeCell ref="L546:L548"/>
    <mergeCell ref="D549:D552"/>
    <mergeCell ref="L549:L552"/>
    <mergeCell ref="D553:D555"/>
    <mergeCell ref="L553:L555"/>
    <mergeCell ref="D556:D559"/>
    <mergeCell ref="L556:L559"/>
    <mergeCell ref="D563:D566"/>
    <mergeCell ref="L563:L566"/>
    <mergeCell ref="D567:D568"/>
    <mergeCell ref="L567:L568"/>
    <mergeCell ref="D569:D572"/>
    <mergeCell ref="L569:L572"/>
    <mergeCell ref="D574:D577"/>
    <mergeCell ref="L574:L577"/>
    <mergeCell ref="D578:D582"/>
    <mergeCell ref="L578:L582"/>
    <mergeCell ref="D583:D589"/>
    <mergeCell ref="L583:L589"/>
    <mergeCell ref="D590:D595"/>
    <mergeCell ref="L590:L595"/>
    <mergeCell ref="D596:D600"/>
    <mergeCell ref="L596:L600"/>
    <mergeCell ref="D604:D606"/>
    <mergeCell ref="L604:L606"/>
    <mergeCell ref="D607:D611"/>
    <mergeCell ref="L607:L611"/>
    <mergeCell ref="D612:D613"/>
    <mergeCell ref="L612:L613"/>
    <mergeCell ref="D614:D616"/>
    <mergeCell ref="L614:L616"/>
    <mergeCell ref="D617:D621"/>
    <mergeCell ref="L617:L621"/>
    <mergeCell ref="D622:D624"/>
    <mergeCell ref="L622:L624"/>
    <mergeCell ref="D625:D631"/>
    <mergeCell ref="L625:L631"/>
    <mergeCell ref="D632:D633"/>
    <mergeCell ref="L632:L633"/>
    <mergeCell ref="D634:D637"/>
    <mergeCell ref="L634:L637"/>
    <mergeCell ref="D638:D639"/>
    <mergeCell ref="L638:L639"/>
    <mergeCell ref="D640:D647"/>
    <mergeCell ref="L640:L647"/>
    <mergeCell ref="D648:D649"/>
    <mergeCell ref="L648:L649"/>
    <mergeCell ref="D650:D652"/>
    <mergeCell ref="L650:L652"/>
    <mergeCell ref="D653:D655"/>
    <mergeCell ref="L653:L655"/>
    <mergeCell ref="D656:D658"/>
    <mergeCell ref="L656:L658"/>
    <mergeCell ref="D659:D664"/>
    <mergeCell ref="L659:L664"/>
    <mergeCell ref="D665:D668"/>
    <mergeCell ref="L665:L668"/>
    <mergeCell ref="D669:D674"/>
    <mergeCell ref="L669:L674"/>
    <mergeCell ref="D675:D678"/>
    <mergeCell ref="L675:L678"/>
    <mergeCell ref="D679:D683"/>
    <mergeCell ref="L679:L683"/>
    <mergeCell ref="D684:D685"/>
    <mergeCell ref="L684:L685"/>
    <mergeCell ref="D688:D689"/>
    <mergeCell ref="L688:L689"/>
    <mergeCell ref="D690:D693"/>
    <mergeCell ref="L690:L693"/>
    <mergeCell ref="D694:D697"/>
    <mergeCell ref="L694:L697"/>
    <mergeCell ref="D698:D704"/>
    <mergeCell ref="L698:L704"/>
    <mergeCell ref="D705:D707"/>
    <mergeCell ref="L705:L707"/>
    <mergeCell ref="D710:D712"/>
    <mergeCell ref="L710:L712"/>
    <mergeCell ref="D713:D716"/>
    <mergeCell ref="L713:L716"/>
    <mergeCell ref="D717:D720"/>
    <mergeCell ref="L717:L720"/>
    <mergeCell ref="D721:D723"/>
    <mergeCell ref="L721:L723"/>
    <mergeCell ref="D724:D725"/>
    <mergeCell ref="L724:L725"/>
    <mergeCell ref="D726:D727"/>
    <mergeCell ref="L726:L727"/>
    <mergeCell ref="D728:D731"/>
    <mergeCell ref="L728:L731"/>
    <mergeCell ref="D732:D736"/>
    <mergeCell ref="L732:L736"/>
    <mergeCell ref="D737:D739"/>
    <mergeCell ref="L737:L739"/>
    <mergeCell ref="D741:D742"/>
    <mergeCell ref="L741:L742"/>
    <mergeCell ref="D743:D746"/>
    <mergeCell ref="L743:L746"/>
    <mergeCell ref="D747:D752"/>
    <mergeCell ref="L747:L752"/>
    <mergeCell ref="D753:D758"/>
    <mergeCell ref="L753:L758"/>
    <mergeCell ref="D761:D766"/>
    <mergeCell ref="L761:L766"/>
    <mergeCell ref="D767:D768"/>
    <mergeCell ref="L767:L768"/>
    <mergeCell ref="D769:D770"/>
    <mergeCell ref="L769:L770"/>
    <mergeCell ref="D771:D772"/>
    <mergeCell ref="L771:L772"/>
    <mergeCell ref="D773:D774"/>
    <mergeCell ref="L773:L774"/>
    <mergeCell ref="D776:D777"/>
    <mergeCell ref="L776:L777"/>
    <mergeCell ref="D778:D782"/>
    <mergeCell ref="L778:L782"/>
    <mergeCell ref="D783:D784"/>
    <mergeCell ref="L783:L784"/>
    <mergeCell ref="D785:D790"/>
    <mergeCell ref="L785:L790"/>
    <mergeCell ref="D791:D793"/>
    <mergeCell ref="L791:L793"/>
    <mergeCell ref="D794:D796"/>
    <mergeCell ref="L794:L796"/>
    <mergeCell ref="D797:D801"/>
    <mergeCell ref="L797:L801"/>
    <mergeCell ref="D802:D805"/>
    <mergeCell ref="L802:L805"/>
    <mergeCell ref="D807:D813"/>
    <mergeCell ref="L807:L813"/>
    <mergeCell ref="D814:D823"/>
    <mergeCell ref="L814:L823"/>
    <mergeCell ref="D825:D826"/>
    <mergeCell ref="L825:L826"/>
    <mergeCell ref="D828:D832"/>
    <mergeCell ref="L828:L832"/>
    <mergeCell ref="D833:D836"/>
    <mergeCell ref="L833:L836"/>
    <mergeCell ref="D837:D841"/>
    <mergeCell ref="L837:L841"/>
    <mergeCell ref="D842:D845"/>
    <mergeCell ref="L842:L845"/>
    <mergeCell ref="D851:D852"/>
    <mergeCell ref="L851:L852"/>
    <mergeCell ref="D853:D855"/>
    <mergeCell ref="L853:L855"/>
    <mergeCell ref="D859:D860"/>
    <mergeCell ref="L859:L860"/>
    <mergeCell ref="D867:D868"/>
    <mergeCell ref="L867:L868"/>
    <mergeCell ref="D870:D871"/>
    <mergeCell ref="L870:L871"/>
    <mergeCell ref="D883:D884"/>
    <mergeCell ref="L883:L884"/>
    <mergeCell ref="D885:D886"/>
    <mergeCell ref="L885:L886"/>
    <mergeCell ref="D889:D890"/>
    <mergeCell ref="L889:L890"/>
    <mergeCell ref="D893:D894"/>
    <mergeCell ref="L893:L894"/>
    <mergeCell ref="D895:D896"/>
    <mergeCell ref="L895:L896"/>
    <mergeCell ref="D897:D899"/>
    <mergeCell ref="L897:L899"/>
    <mergeCell ref="D901:D902"/>
    <mergeCell ref="L901:L902"/>
    <mergeCell ref="D912:D913"/>
    <mergeCell ref="L912:L913"/>
    <mergeCell ref="D914:D915"/>
    <mergeCell ref="L914:L915"/>
    <mergeCell ref="D916:D917"/>
    <mergeCell ref="L916:L917"/>
    <mergeCell ref="D919:D920"/>
    <mergeCell ref="L919:L920"/>
    <mergeCell ref="D927:D928"/>
    <mergeCell ref="L927:L928"/>
    <mergeCell ref="D937:D938"/>
    <mergeCell ref="L937:L938"/>
    <mergeCell ref="D939:D940"/>
    <mergeCell ref="L939:L940"/>
    <mergeCell ref="D941:D942"/>
    <mergeCell ref="L941:L942"/>
    <mergeCell ref="D943:D944"/>
    <mergeCell ref="L943:L944"/>
    <mergeCell ref="D948:D949"/>
    <mergeCell ref="L948:L949"/>
    <mergeCell ref="D953:D954"/>
    <mergeCell ref="L953:L954"/>
    <mergeCell ref="D959:D960"/>
    <mergeCell ref="L959:L960"/>
    <mergeCell ref="D961:D966"/>
    <mergeCell ref="L961:L966"/>
    <mergeCell ref="D968:D970"/>
    <mergeCell ref="L968:L970"/>
    <mergeCell ref="D971:D972"/>
    <mergeCell ref="L971:L972"/>
    <mergeCell ref="D976:D977"/>
    <mergeCell ref="L976:L977"/>
    <mergeCell ref="D978:D982"/>
    <mergeCell ref="L978:L982"/>
    <mergeCell ref="D983:D984"/>
    <mergeCell ref="L983:L984"/>
    <mergeCell ref="D986:D988"/>
    <mergeCell ref="L986:L988"/>
    <mergeCell ref="D989:D991"/>
    <mergeCell ref="L989:L991"/>
    <mergeCell ref="D992:D995"/>
    <mergeCell ref="L992:L995"/>
    <mergeCell ref="D996:D997"/>
    <mergeCell ref="L996:L997"/>
    <mergeCell ref="D998:D999"/>
    <mergeCell ref="L998:L999"/>
    <mergeCell ref="D1000:D1002"/>
    <mergeCell ref="L1000:L1002"/>
    <mergeCell ref="D1003:D1005"/>
    <mergeCell ref="L1003:L1005"/>
    <mergeCell ref="D1008:D1009"/>
    <mergeCell ref="L1008:L1009"/>
    <mergeCell ref="D1010:D1012"/>
    <mergeCell ref="L1010:L1012"/>
    <mergeCell ref="D1013:D1016"/>
    <mergeCell ref="L1013:L1016"/>
    <mergeCell ref="D1017:D1018"/>
    <mergeCell ref="L1017:L1018"/>
    <mergeCell ref="D1019:D1020"/>
    <mergeCell ref="L1019:L1020"/>
    <mergeCell ref="D1023:D1024"/>
    <mergeCell ref="L1023:L1024"/>
    <mergeCell ref="D1026:D1027"/>
    <mergeCell ref="L1026:L1027"/>
    <mergeCell ref="D1028:D1031"/>
    <mergeCell ref="L1028:L1031"/>
    <mergeCell ref="D1032:D1035"/>
    <mergeCell ref="L1032:L1035"/>
    <mergeCell ref="D1037:D1038"/>
    <mergeCell ref="L1037:L1038"/>
    <mergeCell ref="D1039:D1041"/>
    <mergeCell ref="L1039:L1041"/>
    <mergeCell ref="D1042:D1044"/>
    <mergeCell ref="L1042:L1044"/>
    <mergeCell ref="D1045:D1046"/>
    <mergeCell ref="L1045:L1046"/>
    <mergeCell ref="D1047:D1053"/>
    <mergeCell ref="L1047:L1053"/>
    <mergeCell ref="D1055:D1060"/>
    <mergeCell ref="L1055:L1060"/>
    <mergeCell ref="D1062:D1065"/>
    <mergeCell ref="L1062:L1065"/>
    <mergeCell ref="D1067:D1068"/>
    <mergeCell ref="L1067:L1068"/>
    <mergeCell ref="D1069:D1073"/>
    <mergeCell ref="L1069:L1073"/>
    <mergeCell ref="D1074:D1077"/>
    <mergeCell ref="L1074:L1077"/>
    <mergeCell ref="D1078:D1082"/>
    <mergeCell ref="L1078:L1082"/>
    <mergeCell ref="D1084:D1088"/>
    <mergeCell ref="L1084:L1088"/>
    <mergeCell ref="D1090:D1092"/>
    <mergeCell ref="L1090:L1092"/>
    <mergeCell ref="D1093:D1096"/>
    <mergeCell ref="L1093:L1096"/>
    <mergeCell ref="D1097:D1100"/>
    <mergeCell ref="L1097:L1100"/>
    <mergeCell ref="D1102:D1106"/>
    <mergeCell ref="L1102:L1106"/>
    <mergeCell ref="D1107:D1109"/>
    <mergeCell ref="L1107:L1109"/>
    <mergeCell ref="D1111:D1112"/>
    <mergeCell ref="L1111:L1112"/>
    <mergeCell ref="D1114:D1115"/>
    <mergeCell ref="L1114:L1115"/>
    <mergeCell ref="D1117:D1118"/>
    <mergeCell ref="L1117:L1118"/>
    <mergeCell ref="D1119:D1121"/>
    <mergeCell ref="L1119:L1121"/>
    <mergeCell ref="D1122:D1125"/>
    <mergeCell ref="L1122:L1125"/>
    <mergeCell ref="D1128:D1130"/>
    <mergeCell ref="L1128:L1130"/>
    <mergeCell ref="D1131:D1133"/>
    <mergeCell ref="L1131:L1133"/>
    <mergeCell ref="D1134:D1135"/>
    <mergeCell ref="L1134:L1135"/>
    <mergeCell ref="D1136:D1139"/>
    <mergeCell ref="L1136:L1139"/>
    <mergeCell ref="D1141:D1142"/>
    <mergeCell ref="L1141:L1142"/>
    <mergeCell ref="D1143:D1148"/>
    <mergeCell ref="L1143:L1148"/>
    <mergeCell ref="D1149:D1152"/>
    <mergeCell ref="L1149:L1152"/>
    <mergeCell ref="D1153:D1156"/>
    <mergeCell ref="L1153:L1156"/>
    <mergeCell ref="D1158:D1159"/>
    <mergeCell ref="L1158:L1159"/>
    <mergeCell ref="D1160:D1164"/>
    <mergeCell ref="L1160:L1164"/>
    <mergeCell ref="D1167:D1170"/>
    <mergeCell ref="L1167:L1170"/>
    <mergeCell ref="D1171:D1175"/>
    <mergeCell ref="L1171:L1175"/>
    <mergeCell ref="D1176:D1179"/>
    <mergeCell ref="L1176:L1179"/>
    <mergeCell ref="D1180:D1182"/>
    <mergeCell ref="L1180:L1182"/>
    <mergeCell ref="D1183:D1187"/>
    <mergeCell ref="L1183:L1187"/>
    <mergeCell ref="D1188:D1189"/>
    <mergeCell ref="L1188:L1189"/>
    <mergeCell ref="D1190:D1192"/>
    <mergeCell ref="L1190:L1192"/>
    <mergeCell ref="D1193:D1194"/>
    <mergeCell ref="L1193:L1194"/>
    <mergeCell ref="D1197:D1200"/>
    <mergeCell ref="L1197:L1200"/>
    <mergeCell ref="D1201:D1207"/>
    <mergeCell ref="L1201:L1207"/>
    <mergeCell ref="D1208:D1211"/>
    <mergeCell ref="L1208:L1211"/>
    <mergeCell ref="D1212:D1219"/>
    <mergeCell ref="L1212:L1219"/>
    <mergeCell ref="D1220:D1225"/>
    <mergeCell ref="L1220:L1225"/>
    <mergeCell ref="D1226:D1234"/>
    <mergeCell ref="L1226:L1234"/>
    <mergeCell ref="D1235:D1244"/>
    <mergeCell ref="L1235:L1244"/>
    <mergeCell ref="D1246:D1248"/>
    <mergeCell ref="L1246:L1248"/>
    <mergeCell ref="D1249:D1250"/>
    <mergeCell ref="L1249:L1250"/>
    <mergeCell ref="D1251:D1254"/>
    <mergeCell ref="L1251:L1254"/>
    <mergeCell ref="D1256:D1258"/>
    <mergeCell ref="L1256:L1258"/>
    <mergeCell ref="D1259:D1263"/>
    <mergeCell ref="L1259:L1263"/>
    <mergeCell ref="D1264:D1265"/>
    <mergeCell ref="L1264:L1265"/>
    <mergeCell ref="D1266:D1268"/>
    <mergeCell ref="L1266:L1268"/>
    <mergeCell ref="D1270:D1272"/>
    <mergeCell ref="L1270:L1272"/>
    <mergeCell ref="D1273:D1276"/>
    <mergeCell ref="L1273:L1276"/>
    <mergeCell ref="D1282:D1287"/>
    <mergeCell ref="L1282:L1287"/>
    <mergeCell ref="D1288:D1289"/>
    <mergeCell ref="L1288:L1289"/>
    <mergeCell ref="D1290:D1292"/>
    <mergeCell ref="L1290:L1292"/>
    <mergeCell ref="D1293:D1294"/>
    <mergeCell ref="L1293:L1294"/>
    <mergeCell ref="D1295:D1299"/>
    <mergeCell ref="L1295:L1299"/>
    <mergeCell ref="D1301:D1306"/>
    <mergeCell ref="L1301:L1306"/>
    <mergeCell ref="D1307:D1309"/>
    <mergeCell ref="L1307:L1309"/>
    <mergeCell ref="D1310:D1311"/>
    <mergeCell ref="L1310:L1311"/>
    <mergeCell ref="D1312:D1318"/>
    <mergeCell ref="L1312:L1318"/>
    <mergeCell ref="D1319:D1321"/>
    <mergeCell ref="L1319:L1321"/>
    <mergeCell ref="D1324:D1325"/>
    <mergeCell ref="L1324:L1325"/>
    <mergeCell ref="D1327:D1329"/>
    <mergeCell ref="L1327:L1329"/>
    <mergeCell ref="D1330:D1331"/>
    <mergeCell ref="L1330:L1331"/>
    <mergeCell ref="D1332:D1334"/>
    <mergeCell ref="L1332:L1334"/>
    <mergeCell ref="D1335:D1340"/>
    <mergeCell ref="L1335:L1340"/>
    <mergeCell ref="D1341:D1342"/>
    <mergeCell ref="L1341:L1342"/>
    <mergeCell ref="D1344:D1345"/>
    <mergeCell ref="L1344:L1345"/>
    <mergeCell ref="D1346:D1347"/>
    <mergeCell ref="L1346:L1347"/>
    <mergeCell ref="D1348:D1350"/>
    <mergeCell ref="L1348:L1350"/>
    <mergeCell ref="D1351:D1356"/>
    <mergeCell ref="L1351:L1356"/>
    <mergeCell ref="D1357:D1359"/>
    <mergeCell ref="L1357:L1359"/>
    <mergeCell ref="D1360:D1367"/>
    <mergeCell ref="L1360:L1367"/>
    <mergeCell ref="D1368:D1369"/>
    <mergeCell ref="L1368:L1369"/>
    <mergeCell ref="D1370:D1371"/>
    <mergeCell ref="L1370:L1371"/>
    <mergeCell ref="D1373:D1377"/>
    <mergeCell ref="L1373:L1377"/>
    <mergeCell ref="D1378:D1379"/>
    <mergeCell ref="L1378:L1379"/>
    <mergeCell ref="D1380:D1382"/>
    <mergeCell ref="L1380:L1382"/>
    <mergeCell ref="D1383:D1389"/>
    <mergeCell ref="L1383:L1389"/>
    <mergeCell ref="D1390:D1395"/>
    <mergeCell ref="L1390:L1395"/>
    <mergeCell ref="D1396:D1400"/>
    <mergeCell ref="L1396:L1400"/>
    <mergeCell ref="D1401:D1404"/>
    <mergeCell ref="L1401:L1404"/>
    <mergeCell ref="D1405:D1407"/>
    <mergeCell ref="L1405:L1407"/>
    <mergeCell ref="D1408:D1410"/>
    <mergeCell ref="L1408:L1410"/>
    <mergeCell ref="D1411:D1414"/>
    <mergeCell ref="L1411:L1414"/>
    <mergeCell ref="D1415:D1416"/>
    <mergeCell ref="L1415:L1416"/>
    <mergeCell ref="D1417:D1419"/>
    <mergeCell ref="L1417:L1419"/>
    <mergeCell ref="D1420:D1422"/>
    <mergeCell ref="L1420:L1422"/>
    <mergeCell ref="D1423:D1425"/>
    <mergeCell ref="L1423:L1425"/>
    <mergeCell ref="D1427:D1431"/>
    <mergeCell ref="L1427:L1431"/>
    <mergeCell ref="D1432:D1436"/>
    <mergeCell ref="L1432:L1436"/>
    <mergeCell ref="D1437:D1440"/>
    <mergeCell ref="L1437:L1440"/>
    <mergeCell ref="D1441:D1446"/>
    <mergeCell ref="L1441:L1446"/>
    <mergeCell ref="D1447:D1450"/>
    <mergeCell ref="L1447:L1450"/>
    <mergeCell ref="D1451:D1452"/>
    <mergeCell ref="L1451:L1452"/>
    <mergeCell ref="D1454:D1463"/>
    <mergeCell ref="L1454:L1463"/>
    <mergeCell ref="D1464:D1467"/>
    <mergeCell ref="L1464:L1467"/>
    <mergeCell ref="D1469:D1470"/>
    <mergeCell ref="L1469:L1470"/>
    <mergeCell ref="D1471:D1477"/>
    <mergeCell ref="L1471:L1477"/>
    <mergeCell ref="D1478:D1481"/>
    <mergeCell ref="L1478:L1481"/>
    <mergeCell ref="D1482:D1489"/>
    <mergeCell ref="L1482:L1489"/>
    <mergeCell ref="D1493:D1497"/>
    <mergeCell ref="L1493:L1497"/>
    <mergeCell ref="D1500:D1508"/>
    <mergeCell ref="L1500:L1508"/>
    <mergeCell ref="D1509:D1517"/>
    <mergeCell ref="L1509:L1517"/>
    <mergeCell ref="D1518:D1528"/>
    <mergeCell ref="L1518:L1528"/>
    <mergeCell ref="D1529:D1530"/>
    <mergeCell ref="L1529:L1530"/>
    <mergeCell ref="D1531:D1537"/>
    <mergeCell ref="L1531:L1537"/>
    <mergeCell ref="D1538:D1539"/>
    <mergeCell ref="L1538:L1539"/>
    <mergeCell ref="D1540:D1542"/>
    <mergeCell ref="L1540:L1542"/>
    <mergeCell ref="D1543:D1544"/>
    <mergeCell ref="L1543:L1544"/>
    <mergeCell ref="D1545:D1546"/>
    <mergeCell ref="L1545:L1546"/>
    <mergeCell ref="D1547:D1550"/>
    <mergeCell ref="L1547:L1550"/>
    <mergeCell ref="D1551:D1552"/>
    <mergeCell ref="L1551:L1552"/>
    <mergeCell ref="D1554:D1561"/>
    <mergeCell ref="L1554:L1561"/>
    <mergeCell ref="D1563:D1567"/>
    <mergeCell ref="L1563:L1567"/>
    <mergeCell ref="D1568:D1570"/>
    <mergeCell ref="L1568:L1570"/>
    <mergeCell ref="D1585:D1586"/>
    <mergeCell ref="L1585:L1586"/>
    <mergeCell ref="D1587:D1588"/>
    <mergeCell ref="L1587:L1588"/>
    <mergeCell ref="D1590:D1592"/>
    <mergeCell ref="L1590:L1592"/>
    <mergeCell ref="D1595:D1596"/>
    <mergeCell ref="L1595:L1596"/>
    <mergeCell ref="D1597:D1600"/>
    <mergeCell ref="L1597:L1600"/>
    <mergeCell ref="D1601:D1608"/>
    <mergeCell ref="L1601:L1608"/>
    <mergeCell ref="D1613:D1614"/>
    <mergeCell ref="L1613:L1614"/>
    <mergeCell ref="D1617:D1619"/>
    <mergeCell ref="L1617:L1619"/>
    <mergeCell ref="D1621:D1624"/>
    <mergeCell ref="L1621:L1624"/>
    <mergeCell ref="D1625:D1628"/>
    <mergeCell ref="L1625:L1628"/>
    <mergeCell ref="D1629:D1630"/>
    <mergeCell ref="L1629:L1630"/>
    <mergeCell ref="D1632:D1636"/>
    <mergeCell ref="L1632:L1636"/>
    <mergeCell ref="D1637:D1648"/>
    <mergeCell ref="L1637:L1648"/>
    <mergeCell ref="D1649:D1651"/>
    <mergeCell ref="L1649:L1651"/>
    <mergeCell ref="D1652:D1656"/>
    <mergeCell ref="L1652:L1656"/>
    <mergeCell ref="D1657:D1668"/>
    <mergeCell ref="L1657:L1668"/>
    <mergeCell ref="D1671:D1675"/>
    <mergeCell ref="L1671:L1675"/>
    <mergeCell ref="D1677:D1689"/>
    <mergeCell ref="L1677:L1689"/>
    <mergeCell ref="D1690:D1701"/>
    <mergeCell ref="L1690:L1701"/>
    <mergeCell ref="D1702:D1703"/>
    <mergeCell ref="L1702:L1703"/>
    <mergeCell ref="D1704:D1707"/>
    <mergeCell ref="L1704:L1707"/>
    <mergeCell ref="D1708:D1710"/>
    <mergeCell ref="L1708:L1710"/>
    <mergeCell ref="D1711:D1712"/>
    <mergeCell ref="L1711:L1712"/>
    <mergeCell ref="D1713:D1718"/>
    <mergeCell ref="L1713:L1718"/>
    <mergeCell ref="D1719:D1720"/>
    <mergeCell ref="L1719:L1720"/>
    <mergeCell ref="D1721:D1722"/>
    <mergeCell ref="L1721:L1722"/>
    <mergeCell ref="D1724:D1725"/>
    <mergeCell ref="L1724:L1725"/>
    <mergeCell ref="D1726:D1730"/>
    <mergeCell ref="L1726:L1730"/>
    <mergeCell ref="D1731:D1732"/>
    <mergeCell ref="L1731:L1732"/>
    <mergeCell ref="D1733:D1737"/>
    <mergeCell ref="L1733:L1737"/>
    <mergeCell ref="D1738:D1739"/>
    <mergeCell ref="L1738:L1739"/>
    <mergeCell ref="D1742:D1745"/>
    <mergeCell ref="L1742:L1745"/>
    <mergeCell ref="D1754:D1756"/>
    <mergeCell ref="L1754:L1756"/>
    <mergeCell ref="D1758:D1759"/>
    <mergeCell ref="L1758:L1759"/>
    <mergeCell ref="D1760:D1762"/>
    <mergeCell ref="L1760:L1762"/>
    <mergeCell ref="D1763:D1765"/>
    <mergeCell ref="L1763:L1765"/>
    <mergeCell ref="D1766:D1768"/>
    <mergeCell ref="L1766:L1768"/>
    <mergeCell ref="D1769:D1771"/>
    <mergeCell ref="L1769:L1771"/>
    <mergeCell ref="D1774:D1776"/>
    <mergeCell ref="L1774:L1776"/>
    <mergeCell ref="D1777:D1780"/>
    <mergeCell ref="L1777:L1780"/>
    <mergeCell ref="D1781:D1782"/>
    <mergeCell ref="L1781:L1782"/>
    <mergeCell ref="D1783:D1784"/>
    <mergeCell ref="L1783:L1784"/>
    <mergeCell ref="D1786:D1789"/>
    <mergeCell ref="L1786:L1789"/>
    <mergeCell ref="D1793:D1797"/>
    <mergeCell ref="L1793:L1797"/>
    <mergeCell ref="D1798:D1802"/>
    <mergeCell ref="L1798:L1802"/>
    <mergeCell ref="D1803:D1805"/>
    <mergeCell ref="L1803:L1805"/>
    <mergeCell ref="D1806:D1807"/>
    <mergeCell ref="L1806:L1807"/>
    <mergeCell ref="D1808:D1809"/>
    <mergeCell ref="L1808:L1809"/>
    <mergeCell ref="D1810:D1812"/>
    <mergeCell ref="L1810:L1812"/>
    <mergeCell ref="D1813:D1815"/>
    <mergeCell ref="L1813:L1815"/>
    <mergeCell ref="D1816:D1818"/>
    <mergeCell ref="L1816:L1818"/>
    <mergeCell ref="D1819:D1821"/>
    <mergeCell ref="L1819:L1821"/>
    <mergeCell ref="D1822:D1824"/>
    <mergeCell ref="L1822:L1824"/>
    <mergeCell ref="D1826:D1827"/>
    <mergeCell ref="L1826:L1827"/>
    <mergeCell ref="D1828:D1829"/>
    <mergeCell ref="L1828:L1829"/>
    <mergeCell ref="D1831:D1832"/>
    <mergeCell ref="L1831:L1832"/>
    <mergeCell ref="D1836:D1838"/>
    <mergeCell ref="L1836:L1838"/>
    <mergeCell ref="D1841:D1844"/>
    <mergeCell ref="L1841:L1844"/>
    <mergeCell ref="D1845:D1847"/>
    <mergeCell ref="L1845:L1847"/>
    <mergeCell ref="D1853:D1854"/>
    <mergeCell ref="L1853:L1854"/>
    <mergeCell ref="D1855:D1858"/>
    <mergeCell ref="L1855:L1858"/>
    <mergeCell ref="D1860:D1861"/>
    <mergeCell ref="L1860:L1861"/>
    <mergeCell ref="D1862:D1864"/>
    <mergeCell ref="L1862:L1864"/>
    <mergeCell ref="D1866:D1867"/>
    <mergeCell ref="L1866:L1867"/>
    <mergeCell ref="D1869:D1871"/>
    <mergeCell ref="L1869:L1871"/>
    <mergeCell ref="D1872:D1875"/>
    <mergeCell ref="L1872:L1875"/>
    <mergeCell ref="D1877:D1880"/>
    <mergeCell ref="L1877:L1880"/>
    <mergeCell ref="D1881:D1883"/>
    <mergeCell ref="L1881:L1883"/>
    <mergeCell ref="D1884:D1887"/>
    <mergeCell ref="L1884:L1887"/>
    <mergeCell ref="D1888:D1889"/>
    <mergeCell ref="L1888:L1889"/>
    <mergeCell ref="D1890:D1893"/>
    <mergeCell ref="L1890:L1893"/>
    <mergeCell ref="D1894:D1898"/>
    <mergeCell ref="L1894:L1898"/>
    <mergeCell ref="D1899:D1900"/>
    <mergeCell ref="L1899:L1900"/>
    <mergeCell ref="D1901:D1903"/>
    <mergeCell ref="L1901:L1903"/>
    <mergeCell ref="D1904:D1907"/>
    <mergeCell ref="L1904:L1907"/>
    <mergeCell ref="D1908:D1910"/>
    <mergeCell ref="L1908:L1910"/>
    <mergeCell ref="D1911:D1915"/>
    <mergeCell ref="L1911:L1915"/>
    <mergeCell ref="D1916:D1919"/>
    <mergeCell ref="L1916:L1919"/>
    <mergeCell ref="D1920:D1923"/>
    <mergeCell ref="L1920:L1923"/>
    <mergeCell ref="D1924:D1926"/>
    <mergeCell ref="L1924:L1926"/>
    <mergeCell ref="D1927:D1929"/>
    <mergeCell ref="L1927:L1929"/>
    <mergeCell ref="D1930:D1931"/>
    <mergeCell ref="L1930:L1931"/>
    <mergeCell ref="D1932:D1934"/>
    <mergeCell ref="L1932:L1934"/>
    <mergeCell ref="D1935:D1936"/>
    <mergeCell ref="L1935:L1936"/>
    <mergeCell ref="D1938:D1941"/>
    <mergeCell ref="L1938:L1941"/>
    <mergeCell ref="D1942:D1944"/>
    <mergeCell ref="L1942:L1944"/>
    <mergeCell ref="D1945:D1946"/>
    <mergeCell ref="L1945:L1946"/>
    <mergeCell ref="D1947:D1949"/>
    <mergeCell ref="L1947:L1949"/>
    <mergeCell ref="D1951:D1954"/>
    <mergeCell ref="L1951:L1954"/>
    <mergeCell ref="D1956:D1958"/>
    <mergeCell ref="L1956:L1958"/>
    <mergeCell ref="D1959:D1961"/>
    <mergeCell ref="L1959:L1961"/>
    <mergeCell ref="D1962:D1964"/>
    <mergeCell ref="L1962:L1964"/>
    <mergeCell ref="D1966:D1969"/>
    <mergeCell ref="L1966:L1969"/>
    <mergeCell ref="D1970:D1973"/>
    <mergeCell ref="L1970:L1973"/>
    <mergeCell ref="D1974:D1975"/>
    <mergeCell ref="L1974:L1975"/>
    <mergeCell ref="D1976:D1979"/>
    <mergeCell ref="L1976:L1979"/>
    <mergeCell ref="D1980:D1982"/>
    <mergeCell ref="L1980:L1982"/>
    <mergeCell ref="D1983:D1988"/>
    <mergeCell ref="L1983:L1988"/>
    <mergeCell ref="D1996:D1998"/>
    <mergeCell ref="L1996:L1998"/>
    <mergeCell ref="D2001:D2002"/>
    <mergeCell ref="L2001:L2002"/>
    <mergeCell ref="D2014:D2015"/>
    <mergeCell ref="L2014:L2015"/>
    <mergeCell ref="D2021:D2022"/>
    <mergeCell ref="L2021:L2022"/>
    <mergeCell ref="D2027:D2030"/>
    <mergeCell ref="L2027:L2030"/>
    <mergeCell ref="D2031:D2033"/>
    <mergeCell ref="L2031:L2033"/>
    <mergeCell ref="D2034:D2036"/>
    <mergeCell ref="L2034:L2036"/>
    <mergeCell ref="D2037:D2040"/>
    <mergeCell ref="L2037:L2040"/>
    <mergeCell ref="D2041:D2045"/>
    <mergeCell ref="L2041:L2045"/>
    <mergeCell ref="D2050:D2052"/>
    <mergeCell ref="L2050:L2052"/>
    <mergeCell ref="D2053:D2057"/>
    <mergeCell ref="L2053:L2057"/>
    <mergeCell ref="D2058:D2061"/>
    <mergeCell ref="L2058:L2061"/>
    <mergeCell ref="D2062:D2063"/>
    <mergeCell ref="L2062:L2063"/>
    <mergeCell ref="D2065:D2068"/>
    <mergeCell ref="L2065:L2068"/>
    <mergeCell ref="D2070:D2072"/>
    <mergeCell ref="L2070:L2072"/>
    <mergeCell ref="D2073:D2075"/>
    <mergeCell ref="L2073:L2075"/>
    <mergeCell ref="D2076:D2077"/>
    <mergeCell ref="L2076:L2077"/>
    <mergeCell ref="D2078:D2079"/>
    <mergeCell ref="L2078:L2079"/>
    <mergeCell ref="D2080:D2082"/>
    <mergeCell ref="L2080:L2082"/>
    <mergeCell ref="D2083:D2084"/>
    <mergeCell ref="L2083:L2084"/>
    <mergeCell ref="D2085:D2086"/>
    <mergeCell ref="L2085:L2086"/>
    <mergeCell ref="D2087:D2089"/>
    <mergeCell ref="L2087:L2089"/>
    <mergeCell ref="D2091:D2092"/>
    <mergeCell ref="L2091:L2092"/>
    <mergeCell ref="D2093:D2095"/>
    <mergeCell ref="L2093:L2095"/>
    <mergeCell ref="D2097:D2098"/>
    <mergeCell ref="L2097:L2098"/>
    <mergeCell ref="D2099:D2101"/>
    <mergeCell ref="L2099:L2101"/>
    <mergeCell ref="D2102:D2105"/>
    <mergeCell ref="L2102:L2105"/>
    <mergeCell ref="D2106:D2108"/>
    <mergeCell ref="L2106:L2108"/>
    <mergeCell ref="D2112:D2115"/>
    <mergeCell ref="L2112:L2115"/>
    <mergeCell ref="D2116:D2120"/>
    <mergeCell ref="L2116:L2120"/>
    <mergeCell ref="D2121:D2122"/>
    <mergeCell ref="L2121:L2122"/>
    <mergeCell ref="D2124:D2128"/>
    <mergeCell ref="L2124:L2128"/>
    <mergeCell ref="D2129:D2133"/>
    <mergeCell ref="L2129:L2133"/>
    <mergeCell ref="D2134:D2136"/>
    <mergeCell ref="L2134:L2136"/>
    <mergeCell ref="D2137:D2143"/>
    <mergeCell ref="L2137:L2143"/>
    <mergeCell ref="D2145:D2148"/>
    <mergeCell ref="L2145:L2148"/>
    <mergeCell ref="D2149:D2151"/>
    <mergeCell ref="L2149:L2151"/>
    <mergeCell ref="D2153:D2158"/>
    <mergeCell ref="L2153:L2158"/>
    <mergeCell ref="D2159:D2162"/>
    <mergeCell ref="L2159:L2162"/>
    <mergeCell ref="D2163:D2165"/>
    <mergeCell ref="L2163:L2165"/>
    <mergeCell ref="D2166:D2167"/>
    <mergeCell ref="L2166:L2167"/>
    <mergeCell ref="D2168:D2169"/>
    <mergeCell ref="L2168:L2169"/>
    <mergeCell ref="D2170:D2171"/>
    <mergeCell ref="L2170:L2171"/>
    <mergeCell ref="D2176:D2177"/>
    <mergeCell ref="L2176:L2177"/>
    <mergeCell ref="D2178:D2179"/>
    <mergeCell ref="L2178:L2179"/>
    <mergeCell ref="D2180:D2183"/>
    <mergeCell ref="L2180:L2183"/>
    <mergeCell ref="D2184:D2188"/>
    <mergeCell ref="L2184:L2188"/>
    <mergeCell ref="D2189:D2191"/>
    <mergeCell ref="L2189:L2191"/>
    <mergeCell ref="D2192:D2195"/>
    <mergeCell ref="L2192:L2195"/>
    <mergeCell ref="D2196:D2199"/>
    <mergeCell ref="L2196:L2199"/>
    <mergeCell ref="D2200:D2201"/>
    <mergeCell ref="L2200:L2201"/>
    <mergeCell ref="D2204:D2208"/>
    <mergeCell ref="L2204:L2208"/>
    <mergeCell ref="D2209:D2210"/>
    <mergeCell ref="L2209:L2210"/>
    <mergeCell ref="D2211:D2212"/>
    <mergeCell ref="L2211:L2212"/>
    <mergeCell ref="D2213:D2215"/>
    <mergeCell ref="L2213:L2215"/>
    <mergeCell ref="D2216:D2218"/>
    <mergeCell ref="L2216:L2218"/>
    <mergeCell ref="D2219:D2222"/>
    <mergeCell ref="L2219:L2222"/>
    <mergeCell ref="D2224:D2228"/>
    <mergeCell ref="L2224:L2228"/>
    <mergeCell ref="D2229:D2233"/>
    <mergeCell ref="L2229:L2233"/>
    <mergeCell ref="D2235:D2240"/>
    <mergeCell ref="L2235:L2240"/>
    <mergeCell ref="D2241:D2245"/>
    <mergeCell ref="L2241:L2245"/>
    <mergeCell ref="D2246:D2248"/>
    <mergeCell ref="L2246:L2248"/>
    <mergeCell ref="D2249:D2252"/>
    <mergeCell ref="L2249:L2252"/>
    <mergeCell ref="D2253:D2256"/>
    <mergeCell ref="L2253:L2256"/>
    <mergeCell ref="D2257:D2258"/>
    <mergeCell ref="L2257:L2258"/>
    <mergeCell ref="D2259:D2263"/>
    <mergeCell ref="L2259:L2263"/>
    <mergeCell ref="D2264:D2268"/>
    <mergeCell ref="L2264:L2268"/>
    <mergeCell ref="D2269:D2271"/>
    <mergeCell ref="L2269:L2271"/>
    <mergeCell ref="D2272:D2275"/>
    <mergeCell ref="L2272:L2275"/>
    <mergeCell ref="D2276:D2278"/>
    <mergeCell ref="L2276:L2278"/>
    <mergeCell ref="D2279:D2283"/>
    <mergeCell ref="L2279:L2283"/>
    <mergeCell ref="D2284:D2285"/>
    <mergeCell ref="L2284:L2285"/>
    <mergeCell ref="D2286:D2290"/>
    <mergeCell ref="L2286:L2290"/>
    <mergeCell ref="D2291:D2296"/>
    <mergeCell ref="L2291:L2296"/>
    <mergeCell ref="D2299:D2302"/>
    <mergeCell ref="L2299:L2302"/>
    <mergeCell ref="D2305:D2306"/>
    <mergeCell ref="L2305:L2306"/>
    <mergeCell ref="D2310:D2311"/>
    <mergeCell ref="L2310:L2311"/>
    <mergeCell ref="D2312:D2313"/>
    <mergeCell ref="L2312:L2313"/>
    <mergeCell ref="D2314:D2316"/>
    <mergeCell ref="L2314:L2316"/>
    <mergeCell ref="D2317:D2321"/>
    <mergeCell ref="L2317:L2321"/>
    <mergeCell ref="D2324:D2327"/>
    <mergeCell ref="L2324:L2327"/>
    <mergeCell ref="D2330:D2331"/>
    <mergeCell ref="L2330:L2331"/>
    <mergeCell ref="D2332:D2336"/>
    <mergeCell ref="L2332:L2336"/>
    <mergeCell ref="D2338:D2340"/>
    <mergeCell ref="L2338:L2340"/>
    <mergeCell ref="D2341:D2343"/>
    <mergeCell ref="L2341:L2343"/>
    <mergeCell ref="D2344:D2348"/>
    <mergeCell ref="L2344:L2348"/>
    <mergeCell ref="D2349:D2353"/>
    <mergeCell ref="L2349:L2353"/>
    <mergeCell ref="D2354:D2356"/>
    <mergeCell ref="L2354:L2356"/>
    <mergeCell ref="D2357:D2360"/>
    <mergeCell ref="L2357:L2360"/>
    <mergeCell ref="D2363:D2365"/>
    <mergeCell ref="L2363:L2365"/>
    <mergeCell ref="D2366:D2367"/>
    <mergeCell ref="L2366:L2367"/>
    <mergeCell ref="D2371:D2373"/>
    <mergeCell ref="L2371:L2373"/>
    <mergeCell ref="D2374:D2376"/>
    <mergeCell ref="L2374:L2376"/>
    <mergeCell ref="D2377:D2379"/>
    <mergeCell ref="L2377:L2379"/>
    <mergeCell ref="D2381:D2382"/>
    <mergeCell ref="L2381:L2382"/>
    <mergeCell ref="D2383:D2386"/>
    <mergeCell ref="L2383:L2386"/>
    <mergeCell ref="D2388:D2389"/>
    <mergeCell ref="L2388:L2389"/>
    <mergeCell ref="D2390:D2393"/>
    <mergeCell ref="L2390:L2393"/>
    <mergeCell ref="D2394:D2395"/>
    <mergeCell ref="L2394:L2395"/>
    <mergeCell ref="D2396:D2398"/>
    <mergeCell ref="L2396:L2398"/>
    <mergeCell ref="D2399:D2403"/>
    <mergeCell ref="L2399:L2403"/>
    <mergeCell ref="D2404:D2406"/>
    <mergeCell ref="L2404:L2406"/>
    <mergeCell ref="D2407:D2411"/>
    <mergeCell ref="L2407:L2411"/>
    <mergeCell ref="D2412:D2416"/>
    <mergeCell ref="L2412:L2416"/>
    <mergeCell ref="D2418:D2422"/>
    <mergeCell ref="L2418:L2422"/>
    <mergeCell ref="D2423:D2424"/>
    <mergeCell ref="L2423:L2424"/>
    <mergeCell ref="D2425:D2429"/>
    <mergeCell ref="L2425:L2429"/>
    <mergeCell ref="D2430:D2434"/>
    <mergeCell ref="L2430:L2434"/>
    <mergeCell ref="D2436:D2437"/>
    <mergeCell ref="L2436:L2437"/>
    <mergeCell ref="D2438:D2442"/>
    <mergeCell ref="L2438:L2442"/>
    <mergeCell ref="D2444:D2446"/>
    <mergeCell ref="L2444:L2446"/>
    <mergeCell ref="D2447:D2448"/>
    <mergeCell ref="L2447:L2448"/>
    <mergeCell ref="D2449:D2453"/>
    <mergeCell ref="L2449:L2453"/>
    <mergeCell ref="D2454:D2455"/>
    <mergeCell ref="L2454:L2455"/>
    <mergeCell ref="D2456:D2457"/>
    <mergeCell ref="L2456:L2457"/>
    <mergeCell ref="D2458:D2461"/>
    <mergeCell ref="L2458:L2461"/>
    <mergeCell ref="D2462:D2465"/>
    <mergeCell ref="L2462:L2465"/>
    <mergeCell ref="D2466:D2469"/>
    <mergeCell ref="L2466:L2469"/>
    <mergeCell ref="D2470:D2473"/>
    <mergeCell ref="L2470:L2473"/>
    <mergeCell ref="D2474:D2478"/>
    <mergeCell ref="L2474:L2478"/>
    <mergeCell ref="D2479:D2483"/>
    <mergeCell ref="L2479:L2483"/>
    <mergeCell ref="D2484:D2485"/>
    <mergeCell ref="L2484:L2485"/>
    <mergeCell ref="D2486:D2488"/>
    <mergeCell ref="L2486:L2488"/>
    <mergeCell ref="D2489:D2490"/>
    <mergeCell ref="L2489:L2490"/>
    <mergeCell ref="D2491:D2494"/>
    <mergeCell ref="L2491:L2494"/>
    <mergeCell ref="D2495:D2496"/>
    <mergeCell ref="L2495:L2496"/>
    <mergeCell ref="D2497:D2500"/>
    <mergeCell ref="L2497:L2500"/>
    <mergeCell ref="D2501:D2504"/>
    <mergeCell ref="L2501:L2504"/>
    <mergeCell ref="D2506:D2509"/>
    <mergeCell ref="L2506:L2509"/>
    <mergeCell ref="D2510:D2511"/>
    <mergeCell ref="L2510:L2511"/>
    <mergeCell ref="D2512:D2514"/>
    <mergeCell ref="L2512:L2514"/>
    <mergeCell ref="D2515:D2517"/>
    <mergeCell ref="L2515:L2517"/>
    <mergeCell ref="D2518:D2520"/>
    <mergeCell ref="L2518:L2520"/>
    <mergeCell ref="D2521:D2522"/>
    <mergeCell ref="L2521:L2522"/>
    <mergeCell ref="D2523:D2527"/>
    <mergeCell ref="L2523:L2527"/>
    <mergeCell ref="D2528:D2529"/>
    <mergeCell ref="L2528:L2529"/>
    <mergeCell ref="D2530:D2531"/>
    <mergeCell ref="L2530:L2531"/>
    <mergeCell ref="D2533:D2536"/>
    <mergeCell ref="L2533:L2536"/>
    <mergeCell ref="D2537:D2541"/>
    <mergeCell ref="L2537:L2541"/>
    <mergeCell ref="D2542:D2546"/>
    <mergeCell ref="L2542:L2546"/>
    <mergeCell ref="D2547:D2548"/>
    <mergeCell ref="L2547:L2548"/>
    <mergeCell ref="D2549:D2550"/>
    <mergeCell ref="L2549:L2550"/>
    <mergeCell ref="D2552:D2554"/>
    <mergeCell ref="L2552:L2554"/>
    <mergeCell ref="D2555:D2558"/>
    <mergeCell ref="L2555:L2558"/>
    <mergeCell ref="D2559:D2563"/>
    <mergeCell ref="L2559:L2563"/>
    <mergeCell ref="D2602:D2603"/>
    <mergeCell ref="L2602:L2603"/>
    <mergeCell ref="D2607:D2609"/>
    <mergeCell ref="L2607:L2609"/>
    <mergeCell ref="D2610:D2612"/>
    <mergeCell ref="L2610:L2612"/>
    <mergeCell ref="D2620:D2621"/>
    <mergeCell ref="L2620:L2621"/>
    <mergeCell ref="D2623:D2625"/>
    <mergeCell ref="L2623:L2625"/>
    <mergeCell ref="D2629:D2631"/>
    <mergeCell ref="L2629:L2631"/>
    <mergeCell ref="D2634:D2636"/>
    <mergeCell ref="L2634:L2636"/>
    <mergeCell ref="D2637:D2638"/>
    <mergeCell ref="L2637:L2638"/>
    <mergeCell ref="D2640:D2641"/>
    <mergeCell ref="L2640:L2641"/>
    <mergeCell ref="D2642:D2644"/>
    <mergeCell ref="L2642:L2644"/>
    <mergeCell ref="D2646:D2650"/>
    <mergeCell ref="L2646:L2650"/>
    <mergeCell ref="D2651:D2654"/>
    <mergeCell ref="L2651:L2654"/>
    <mergeCell ref="D2655:D2659"/>
    <mergeCell ref="L2655:L2659"/>
    <mergeCell ref="D2660:D2662"/>
    <mergeCell ref="L2660:L2662"/>
    <mergeCell ref="D2664:D2665"/>
    <mergeCell ref="L2664:L2665"/>
    <mergeCell ref="D2667:D2668"/>
    <mergeCell ref="L2667:L2668"/>
    <mergeCell ref="D2669:D2670"/>
    <mergeCell ref="L2669:L2670"/>
    <mergeCell ref="D2672:D2673"/>
    <mergeCell ref="L2672:L2673"/>
    <mergeCell ref="D2676:D2683"/>
    <mergeCell ref="L2676:L2683"/>
    <mergeCell ref="D2686:D2688"/>
    <mergeCell ref="L2686:L2688"/>
    <mergeCell ref="D2689:D2690"/>
    <mergeCell ref="L2689:L2690"/>
    <mergeCell ref="D2692:D2693"/>
    <mergeCell ref="L2692:L2693"/>
    <mergeCell ref="D2694:D2697"/>
    <mergeCell ref="L2694:L2697"/>
    <mergeCell ref="D2698:D2700"/>
    <mergeCell ref="L2698:L2700"/>
    <mergeCell ref="D2702:D2705"/>
    <mergeCell ref="L2702:L2705"/>
    <mergeCell ref="D2707:D2709"/>
    <mergeCell ref="L2707:L2709"/>
    <mergeCell ref="D2710:D2711"/>
    <mergeCell ref="L2710:L2711"/>
    <mergeCell ref="D2713:D2714"/>
    <mergeCell ref="L2713:L2714"/>
    <mergeCell ref="D2715:D2716"/>
    <mergeCell ref="L2715:L2716"/>
    <mergeCell ref="D2717:D2719"/>
    <mergeCell ref="L2717:L2719"/>
    <mergeCell ref="D2720:D2721"/>
    <mergeCell ref="L2720:L2721"/>
    <mergeCell ref="D2722:D2723"/>
    <mergeCell ref="L2722:L2723"/>
    <mergeCell ref="D2725:D2726"/>
    <mergeCell ref="L2725:L2726"/>
    <mergeCell ref="D2729:D2730"/>
    <mergeCell ref="L2729:L2730"/>
    <mergeCell ref="D2731:D2734"/>
    <mergeCell ref="L2731:L2734"/>
    <mergeCell ref="D2735:D2738"/>
    <mergeCell ref="L2735:L2738"/>
    <mergeCell ref="D2739:D2740"/>
    <mergeCell ref="L2739:L2740"/>
    <mergeCell ref="D2741:D2742"/>
    <mergeCell ref="L2741:L2742"/>
    <mergeCell ref="D2744:D2746"/>
    <mergeCell ref="L2744:L2746"/>
    <mergeCell ref="D2747:D2749"/>
    <mergeCell ref="L2747:L2749"/>
    <mergeCell ref="D2751:D2753"/>
    <mergeCell ref="L2751:L2753"/>
    <mergeCell ref="D2754:D2755"/>
    <mergeCell ref="L2754:L2755"/>
    <mergeCell ref="D2756:D2757"/>
    <mergeCell ref="L2756:L2757"/>
    <mergeCell ref="D2758:D2761"/>
    <mergeCell ref="L2758:L2761"/>
    <mergeCell ref="D2765:D2767"/>
    <mergeCell ref="L2765:L2767"/>
    <mergeCell ref="D2768:D2769"/>
    <mergeCell ref="L2768:L2769"/>
    <mergeCell ref="D2770:D2771"/>
    <mergeCell ref="L2770:L2771"/>
    <mergeCell ref="D2773:D2774"/>
    <mergeCell ref="L2773:L2774"/>
    <mergeCell ref="D2775:D2776"/>
    <mergeCell ref="L2775:L2776"/>
    <mergeCell ref="D2777:D2778"/>
    <mergeCell ref="L2777:L2778"/>
    <mergeCell ref="D2781:D2783"/>
    <mergeCell ref="L2781:L2783"/>
    <mergeCell ref="D2784:D2786"/>
    <mergeCell ref="L2784:L2786"/>
    <mergeCell ref="D2789:D2790"/>
    <mergeCell ref="L2789:L2790"/>
    <mergeCell ref="D2791:D2792"/>
    <mergeCell ref="L2791:L2792"/>
    <mergeCell ref="D2793:D2796"/>
    <mergeCell ref="L2793:L2796"/>
    <mergeCell ref="D2799:D2802"/>
    <mergeCell ref="L2799:L2802"/>
    <mergeCell ref="D2803:D2808"/>
    <mergeCell ref="L2803:L2808"/>
    <mergeCell ref="D2809:D2811"/>
    <mergeCell ref="L2809:L2811"/>
    <mergeCell ref="D2812:D2814"/>
    <mergeCell ref="L2812:L2814"/>
    <mergeCell ref="D2815:D2816"/>
    <mergeCell ref="L2815:L2816"/>
    <mergeCell ref="D2817:D2818"/>
    <mergeCell ref="L2817:L2818"/>
    <mergeCell ref="D2821:D2822"/>
    <mergeCell ref="L2821:L2822"/>
    <mergeCell ref="D2823:D2825"/>
    <mergeCell ref="L2823:L2825"/>
    <mergeCell ref="D2826:D2827"/>
    <mergeCell ref="L2826:L2827"/>
    <mergeCell ref="D2829:D2831"/>
    <mergeCell ref="L2829:L2831"/>
    <mergeCell ref="D2832:D2834"/>
    <mergeCell ref="L2832:L2834"/>
    <mergeCell ref="D2837:D2839"/>
    <mergeCell ref="L2837:L2839"/>
    <mergeCell ref="D2840:D2842"/>
    <mergeCell ref="L2840:L2842"/>
    <mergeCell ref="D2843:D2846"/>
    <mergeCell ref="L2843:L2846"/>
    <mergeCell ref="D2847:D2848"/>
    <mergeCell ref="L2847:L2848"/>
    <mergeCell ref="D2849:D2850"/>
    <mergeCell ref="L2849:L2850"/>
    <mergeCell ref="D2851:D2854"/>
    <mergeCell ref="L2851:L2854"/>
    <mergeCell ref="D2855:D2856"/>
    <mergeCell ref="L2855:L2856"/>
    <mergeCell ref="D2857:D2858"/>
    <mergeCell ref="L2857:L2858"/>
    <mergeCell ref="D2859:D2860"/>
    <mergeCell ref="L2859:L2860"/>
    <mergeCell ref="D2861:D2864"/>
    <mergeCell ref="L2861:L2864"/>
    <mergeCell ref="D2865:D2866"/>
    <mergeCell ref="L2865:L2866"/>
    <mergeCell ref="D2868:D2869"/>
    <mergeCell ref="L2868:L2869"/>
    <mergeCell ref="D2870:D2872"/>
    <mergeCell ref="L2870:L2872"/>
    <mergeCell ref="D2874:D2876"/>
    <mergeCell ref="L2874:L2876"/>
    <mergeCell ref="D2877:D2880"/>
    <mergeCell ref="L2877:L2880"/>
    <mergeCell ref="D2881:D2883"/>
    <mergeCell ref="L2881:L2883"/>
    <mergeCell ref="D2884:D2888"/>
    <mergeCell ref="L2884:L2888"/>
    <mergeCell ref="D2889:D2890"/>
    <mergeCell ref="L2889:L2890"/>
    <mergeCell ref="D2895:D2896"/>
    <mergeCell ref="L2895:L2896"/>
    <mergeCell ref="D2898:D2902"/>
    <mergeCell ref="L2898:L2902"/>
    <mergeCell ref="D2903:D2907"/>
    <mergeCell ref="L2903:L2907"/>
    <mergeCell ref="D2909:D2912"/>
    <mergeCell ref="L2909:L2912"/>
    <mergeCell ref="D2913:D2916"/>
    <mergeCell ref="L2913:L2916"/>
    <mergeCell ref="D2917:D2918"/>
    <mergeCell ref="L2917:L2918"/>
    <mergeCell ref="D2919:D2922"/>
    <mergeCell ref="L2919:L2922"/>
    <mergeCell ref="D2923:D2927"/>
    <mergeCell ref="L2923:L2927"/>
    <mergeCell ref="D2928:D2932"/>
    <mergeCell ref="L2928:L2932"/>
    <mergeCell ref="D2934:D2938"/>
    <mergeCell ref="L2934:L2938"/>
    <mergeCell ref="D2939:D2940"/>
    <mergeCell ref="L2939:L2940"/>
    <mergeCell ref="D2941:D2943"/>
    <mergeCell ref="L2941:L2943"/>
    <mergeCell ref="D2944:D2947"/>
    <mergeCell ref="L2944:L2947"/>
    <mergeCell ref="D2948:D2950"/>
    <mergeCell ref="L2948:L2950"/>
    <mergeCell ref="D2951:D2953"/>
    <mergeCell ref="L2951:L2953"/>
    <mergeCell ref="D2954:D2958"/>
    <mergeCell ref="L2954:L2958"/>
    <mergeCell ref="D2959:D2960"/>
    <mergeCell ref="L2959:L2960"/>
    <mergeCell ref="D2961:D2962"/>
    <mergeCell ref="L2961:L2962"/>
    <mergeCell ref="D2963:D2967"/>
    <mergeCell ref="L2963:L2967"/>
    <mergeCell ref="D2969:D2970"/>
    <mergeCell ref="L2969:L2970"/>
    <mergeCell ref="D2971:D2972"/>
    <mergeCell ref="L2971:L2972"/>
    <mergeCell ref="D2973:D2974"/>
    <mergeCell ref="L2973:L2974"/>
    <mergeCell ref="D2975:D2976"/>
    <mergeCell ref="L2975:L2976"/>
    <mergeCell ref="D2977:D2978"/>
    <mergeCell ref="L2977:L2978"/>
    <mergeCell ref="D2979:D2981"/>
    <mergeCell ref="L2979:L2981"/>
    <mergeCell ref="D2982:D2983"/>
    <mergeCell ref="L2982:L2983"/>
    <mergeCell ref="D2985:D2986"/>
    <mergeCell ref="L2985:L2986"/>
    <mergeCell ref="D2988:D2989"/>
    <mergeCell ref="L2988:L2989"/>
    <mergeCell ref="D2990:D2991"/>
    <mergeCell ref="L2990:L2991"/>
    <mergeCell ref="D2993:D2996"/>
    <mergeCell ref="L2993:L2996"/>
    <mergeCell ref="D2998:D3000"/>
    <mergeCell ref="L2998:L3000"/>
    <mergeCell ref="D3002:D3006"/>
    <mergeCell ref="L3002:L3006"/>
    <mergeCell ref="D3007:D3010"/>
    <mergeCell ref="L3007:L3010"/>
    <mergeCell ref="D3011:D3014"/>
    <mergeCell ref="L3011:L3014"/>
    <mergeCell ref="D3015:D3018"/>
    <mergeCell ref="L3015:L3018"/>
    <mergeCell ref="D3019:D3022"/>
    <mergeCell ref="L3019:L3022"/>
    <mergeCell ref="D3024:D3025"/>
    <mergeCell ref="L3024:L3025"/>
    <mergeCell ref="D3036:D3040"/>
    <mergeCell ref="L3036:L3040"/>
    <mergeCell ref="D3042:D3044"/>
    <mergeCell ref="L3042:L3044"/>
    <mergeCell ref="D3045:D3049"/>
    <mergeCell ref="L3045:L3049"/>
    <mergeCell ref="D3050:D3051"/>
    <mergeCell ref="L3050:L3051"/>
    <mergeCell ref="D3052:D3053"/>
    <mergeCell ref="L3052:L3053"/>
    <mergeCell ref="D3054:D3058"/>
    <mergeCell ref="L3054:L3058"/>
    <mergeCell ref="D3059:D3063"/>
    <mergeCell ref="L3059:L3063"/>
    <mergeCell ref="D3067:D3069"/>
    <mergeCell ref="L3067:L3069"/>
    <mergeCell ref="D3070:D3074"/>
    <mergeCell ref="L3070:L3074"/>
    <mergeCell ref="D3075:D3078"/>
    <mergeCell ref="L3075:L3078"/>
    <mergeCell ref="D3079:D3083"/>
    <mergeCell ref="L3079:L3083"/>
    <mergeCell ref="D3087:D3088"/>
    <mergeCell ref="L3087:L3088"/>
    <mergeCell ref="D3090:D3093"/>
    <mergeCell ref="L3090:L3093"/>
    <mergeCell ref="D3096:D3097"/>
    <mergeCell ref="L3096:L3097"/>
    <mergeCell ref="D3098:D3101"/>
    <mergeCell ref="L3098:L3101"/>
    <mergeCell ref="D3102:D3103"/>
    <mergeCell ref="L3102:L3103"/>
    <mergeCell ref="D3106:D3110"/>
    <mergeCell ref="L3106:L3110"/>
    <mergeCell ref="D3111:D3115"/>
    <mergeCell ref="L3111:L3115"/>
    <mergeCell ref="D3116:D3120"/>
    <mergeCell ref="L3116:L3120"/>
    <mergeCell ref="D3123:D3124"/>
    <mergeCell ref="L3123:L3124"/>
    <mergeCell ref="D3125:D3128"/>
    <mergeCell ref="L3125:L3128"/>
    <mergeCell ref="D3131:D3132"/>
    <mergeCell ref="L3131:L3132"/>
    <mergeCell ref="D3135:D3137"/>
    <mergeCell ref="L3135:L3137"/>
    <mergeCell ref="D3139:D3141"/>
    <mergeCell ref="L3139:L3141"/>
    <mergeCell ref="D3142:D3144"/>
    <mergeCell ref="L3142:L3144"/>
    <mergeCell ref="D3145:D3146"/>
    <mergeCell ref="L3145:L3146"/>
    <mergeCell ref="D3149:D3150"/>
    <mergeCell ref="L3149:L3150"/>
    <mergeCell ref="D3151:D3155"/>
    <mergeCell ref="L3151:L3155"/>
    <mergeCell ref="D3156:D3158"/>
    <mergeCell ref="L3156:L3158"/>
    <mergeCell ref="D3159:D3161"/>
    <mergeCell ref="L3159:L3161"/>
    <mergeCell ref="D3162:D3165"/>
    <mergeCell ref="L3162:L3165"/>
    <mergeCell ref="D3166:D3167"/>
    <mergeCell ref="L3166:L3167"/>
    <mergeCell ref="D3168:D3169"/>
    <mergeCell ref="L3168:L3169"/>
    <mergeCell ref="D3176:D3177"/>
    <mergeCell ref="L3176:L3177"/>
    <mergeCell ref="D3178:D3182"/>
    <mergeCell ref="L3178:L3182"/>
    <mergeCell ref="D3217:D3221"/>
    <mergeCell ref="L3217:L3221"/>
    <mergeCell ref="D3223:D3225"/>
    <mergeCell ref="L3223:L3225"/>
    <mergeCell ref="D3227:D3229"/>
    <mergeCell ref="L3227:L3229"/>
    <mergeCell ref="D3230:D3232"/>
    <mergeCell ref="L3230:L3232"/>
    <mergeCell ref="D3233:D3235"/>
    <mergeCell ref="L3233:L3235"/>
    <mergeCell ref="D3183:D3185"/>
    <mergeCell ref="L3183:L3185"/>
    <mergeCell ref="D3188:D3191"/>
    <mergeCell ref="L3188:L3191"/>
    <mergeCell ref="D3192:D3194"/>
    <mergeCell ref="L3192:L3194"/>
    <mergeCell ref="D3195:D3196"/>
    <mergeCell ref="L3195:L3196"/>
    <mergeCell ref="D3198:D3199"/>
    <mergeCell ref="L3198:L3199"/>
    <mergeCell ref="D3201:D3205"/>
    <mergeCell ref="L3201:L3205"/>
    <mergeCell ref="D3206:D3210"/>
    <mergeCell ref="L3206:L3210"/>
    <mergeCell ref="D3211:D3212"/>
    <mergeCell ref="L3211:L3212"/>
    <mergeCell ref="D3213:D3214"/>
    <mergeCell ref="L3213:L3214"/>
  </mergeCells>
  <dataValidations count="46">
    <dataValidation type="whole" operator="lessThanOrEqual" allowBlank="1" showErrorMessage="1" errorTitle="Неверно" error="Заказ не может быть больше Наличия" sqref="X4 X2475 X2319 X1772 X587 X565 X333 X188" xr:uid="{00000000-0002-0000-0000-000000000000}">
      <formula1>20</formula1>
    </dataValidation>
    <dataValidation type="whole" operator="lessThanOrEqual" allowBlank="1" showErrorMessage="1" errorTitle="Неверно" error="Заказ не может быть больше Наличия" sqref="X5 X2628 X2288 X1398 X1383 X545 X510 X501 X419" xr:uid="{00000000-0002-0000-0000-000001000000}">
      <formula1>24</formula1>
    </dataValidation>
    <dataValidation type="whole" operator="lessThanOrEqual" allowBlank="1" showErrorMessage="1" errorTitle="Неверно" error="Заказ не может быть больше Наличия" sqref="X3234:X3235 X3232 X3226:X3229 X3222 X3214:X3215 X3211 X3204:X3205 X3202 X3199:X3200 X3196:X3197 X3191 X3187 X3183:X3185 X3174 X3172 X3170 X3165:X3166 X3158:X3159 X3148 X3145 X3141:X3142 X3137:X3138 X3133:X3135 X3131 X3129 X3121:X3124 X3095:X3097 X3093 X3089:X3091 X3084:X3086 X3076:X3077 X3074 X3071:X3072 X3064:X3066 X3052 X3039:X3040 X3035 X3033 X3029 X3025 X3023 X3007 X3000 X2997:X2998 X2992 X2988 X2984:X2985 X2981:X2982 X2975:X2976 X2970 X2968 X2961:X2962 X2959 X2947 X2940 X2918:X2921 X2907:X2910 X2896:X2897 X2888:X2893 X2883 X2881 X2873 X2869 X2867 X2864:X2865 X2856 X2850 X2847:X2848 X2840 X2836:X2837 X2833 X2826 X2824 X2818:X2820 X2815:X2816 X2813 X2810:X2811 X2804:X2806 X2798 X2796 X2787:X2788 X2784 X2782 X2778:X2780 X2776 X2771:X2772 X2764:X2769 X2762 X2759:X2760 X2755 X2752 X2748 X2745 X2743 X2739 X2729:X2730 X2722 X2719 X2708:X2712 X2706 X2703 X2694:X2696 X2692 X2690 X2687 X2683 X2680:X2681 X2678 X2676 X2668:X2671 X2665 X2662:X2663 X2654 X2649 X2639 X2636 X2630:X2632 X2620:X2622 X2617:X2618 X2613:X2614 X2611 X2600:X2604 X2598 X2595:X2596 X2590:X2591 X2588 X2583 X2580 X2578 X2568:X2573 X2564:X2565 X2548 X2541 X2532 X2529 X2519:X2521 X2516 X2514 X2504 X2502 X2495 X2486:X2487 X2484 X2467:X2468 X2457 X2453:X2455 X2445:X2446 X2443 X2437 X2423:X2424 X2417 X2409 X2397:X2398 X2393:X2395 X2391 X2386:X2387 X2383 X2379 X2376 X2366:X2368 X2360:X2361 X2356 X2348 X2343 X2339 X2335:X2337 X2329 X2322:X2325 X2314 X2311:X2312 X2307:X2308 X2304:X2305 X2301:X2302 X2299 X2295:X2297 X2291 X2285 X2283 X2280 X2277 X2275 X2268 X2263 X2249 X2246 X2235 X2223 X2221 X2219 X2217 X2213:X2215 X2210 X2207:X2208 X2203 X2200:X2201 X2197 X2191 X2177:X2179 X2175 X2169:X2173 X2164:X2166 X2158 X2148 X2143 X2137 X2120 X2111:X2112 X2107 X2095:X2098 X2089:X2090 X2085:X2086 X2079 X2077 X2075 X2071:X2072 X2069 X2067 X2063 X2061 X2059 X2057 X2050 X2046:X2047 X2029:X2030 X2023:X2026 X2020:X2021 X2018 X2013:X2014 X2008:X2010 X2005 X2002:X2003 X2000 X1988:X1992 X1985:X1986 X1982:X1983 X1972 X1970 X1958 X1955 X1941 X1931 X1928:X1929 X1918 X1886:X1887 X1884 X1880 X1874:X1876 X1859 X1855 X1852:X1853 X1849 X1844 X1841 X1838:X1839 X1836 X1830:X1833 X1827 X1822:X1823 X1814 X1802:X1806 X1800 X1797 X1790:X1791 X1776 X1756:X1757 X1753 X1751 X1747 X1740:X1741 X1726:X1727 X1724 X1721 X1718 X1712 X1710 X1707:X1708 X1676 X1670:X1673 X1667:X1668 X1663 X1660 X1654 X1649:X1651 X1639:X1640 X1637 X1629:X1632 X1626:X1627 X1624 X1619:X1621 X1615:X1617 X1611:X1612 X1608:X1609 X1599:X1601 X1597 X1587:X1594 X1582:X1583 X1578:X1579 X1575:X1576 X1570:X1573 X1567 X1563:X1564 X1553 X1540 X1527:X1529 X1513 X1507 X1498:X1499 X1493 X1489 X1481 X1470 X1468 X1466 X1454:X1455 X1451:X1452 X1446:X1447 X1426 X1421 X1419 X1414:X1416 X1411:X1412 X1401:X1407 X1386 X1380:X1382 X1370 X1367:X1368 X1364 X1358 X1355 X1342:X1349 X1339:X1340 X1333 X1330:X1331 X1326 X1322:X1323 X1318:X1319 X1315 X1310:X1311 X1308 X1299:X1301 X1293:X1296 X1286:X1288 X1274:X1284 X1270:X1272 X1268 X1261:X1266 X1254:X1255 X1250:X1252 X1244:X1247 X1222 X1219 X1211 X1207:X1208 X1200:X1203 X1197 X1193:X1195 X1191 X1182 X1170 X1165:X1167 X1161:X1162 X1155:X1159 X1150:X1153 X1145:X1147 X1142:X1143 X1139:X1140 X1137 X1135 X1132 X1128:X1129 X1126 X1120 X1116:X1118 X1111 X1107:X1109 X1104 X1101 X1097:X1098 X1091:X1092 X1089 X1085:X1086 X1082 X1073 X1068 X1066 X1062:X1064 X1059 X1056 X1054 X1042:X1044 X1038:X1039 X1035:X1036 X1031 X1027:X1028 X1021:X1022 X1014:X1015 X1011:X1012 X1009 X1005:X1006 X1002 X998 X996 X989:X991 X984:X985 X973:X975 X960 X958 X955:X956 X952:X953 X948:X950 X937:X946 X929:X935 X927 X924:X925 X912:X922 X910 X908 X904:X906 X902 X900 X896 X891:X893 X884:X889 X881 X877:X879 X874:X875 X870:X872 X860:X868 X857:X858 X855 X851:X853 X847:X848 X837 X827 X822:X824 X812:X813 X803:X807 X791:X793 X788:X789 X782:X784 X776 X773:X774 X771 X768:X769 X760 X758 X752 X742 X738 X731:X732 X727:X729 X720:X721 X717 X712 X710 X708 X695 X690 X688 X686 X674 X667:X668 X651:X654 X648 X637:X639 X632:X633 X630 X623:X624 X612:X613 X608 X604 X600 X597 X592 X588:X589 X583 X578 X574 X542 X540 X532:X533 X530 X523 X512 X497 X485:X487 X477:X481 X470 X467:X468 X465 X460 X451 X449 X429:X430 X422 X412:X413 X408:X409 X403:X404 X401 X389 X375 X371:X372 X366 X360 X354 X352 X343 X341 X336:X337 X330 X325 X321 X319 X315 X310:X311 X306 X304 X298:X300 X291:X295 X287:X288 X284:X285 X280 X276:X277 X274 X269:X272 X264:X267 X262 X258:X259 X256 X250:X251 X244 X233:X234 X226:X227 X211 X208:X209 X206 X200 X198 X193 X189 X184 X182 X176 X168:X172 X165 X162 X156:X157 X148 X145 X143 X140:X141 X133 X125:X126 X121:X123 X118:X119 X114 X111:X112 X108:X109 X102:X104 X100 X83:X84 X80:X81 X78 X74:X75 X64 X61 X50 X47 X38 X25 X11 X6:X7" xr:uid="{00000000-0002-0000-0000-000002000000}">
      <formula1>1</formula1>
    </dataValidation>
    <dataValidation type="whole" operator="lessThanOrEqual" allowBlank="1" showErrorMessage="1" errorTitle="Неверно" error="Заказ не может быть больше Наличия" sqref="X3233 X3231 X3223:X3224 X3216:X3217 X3212:X3213 X3198 X3192:X3194 X3186 X3175:X3176 X3173 X3171 X3169 X3162:X3164 X3144 X3140 X3130 X3105 X3092 X3069 X3058 X3051 X3043 X3034 X3032 X3024 X3008 X3006 X3001 X2989:X2991 X2987 X2983 X2971 X2969 X2951:X2952 X2948 X2944 X2933 X2917 X2894 X2877 X2866 X2862 X2857:X2860 X2855 X2831 X2828 X2823 X2817 X2814 X2812 X2808 X2802 X2800 X2797 X2790 X2785 X2783 X2774 X2763 X2761 X2756 X2753 X2749 X2746 X2723:X2725 X2720:X2721 X2714 X2707 X2705 X2701 X2698 X2693 X2689 X2684 X2673 X2650 X2638 X2635 X2626:X2627 X2612 X2609:X2610 X2593 X2566 X2546 X2527 X2517 X2496 X2491 X2483 X2478 X2470 X2448 X2444 X2434 X2404 X2392 X2380 X2378 X2362:X2363 X2354:X2355 X2347 X2328 X2274 X2264:X2265 X2247 X2224 X2216 X2204 X2202 X2174 X2167 X2151:X2152 X2142 X2134 X2129 X2123 X2121 X2115 X2108 X2076 X2073 X2068 X2027 X2022 X2015 X2004 X1997 X1993:X1994 X1975 X1973 X1964:X1965 X1961 X1936:X1937 X1923 X1919:X1920 X1915:X1916 X1908 X1899 X1893 X1868 X1861 X1858 X1854 X1851 X1842:X1843 X1834 X1766 X1744:X1745 X1737:X1738 X1732 X1728 X1725 X1722:X1723 X1719 X1713 X1711 X1709 X1704 X1702 X1675 X1669 X1666 X1658 X1656 X1653 X1638 X1628 X1625 X1623 X1613:X1614 X1595 X1585:X1586 X1580 X1577 X1568:X1569 X1565 X1561:X1562 X1549:X1552 X1541 X1517 X1511 X1508:X1509 X1500:X1501 X1491:X1492 X1475 X1471 X1469 X1464:X1465 X1461 X1437 X1425 X1422:X1423 X1420 X1417 X1413 X1409:X1410 X1394:X1395 X1389 X1375:X1379 X1372:X1373 X1369 X1361 X1359 X1356:X1357 X1353 X1341 X1334 X1327:X1329 X1309 X1307 X1303 X1297 X1273 X1267 X1258 X1256 X1253 X1248:X1249 X1217:X1218 X1212:X1214 X1209:X1210 X1204:X1206 X1198:X1199 X1196 X1188 X1181 X1163:X1164 X1160 X1144 X1141 X1136 X1134 X1130:X1131 X1127 X1121:X1122 X1119 X1112:X1113 X1110 X1103 X1096 X1094 X1088 X1083:X1084 X1081 X1076 X1067 X1065 X1061 X1053 X1047:X1048 X1041 X1024 X1007:X1008 X1004 X1000:X1001 X997 X983 X967 X954 X951 X947 X909 X907 X894 X882:X883 X880 X873 X869 X859 X856 X849 X846 X831 X820:X821 X808 X802 X794:X796 X790 X785 X777 X775 X772 X770 X765 X757 X753:X754 X751 X747 X739 X737 X734 X726 X724 X714 X665 X658 X655:X656 X649 X631 X606 X601:X603 X595 X590 X584 X567:X568 X562 X557 X552 X535 X519 X513 X503 X492:X493 X490 X457:X458 X455 X441 X411 X406 X390:X392 X374 X368:X369 X364 X353 X339 X326:X327 X314 X312 X309 X307 X302:X303 X297 X290 X283 X281 X275 X263 X257 X255 X247:X248 X235 X230:X232 X228 X220 X205 X203 X183 X179 X173 X159 X149 X147 X144 X142 X139 X131 X116:X117 X113 X91 X76 X73 X70:X71 X56 X49 X46 X32 X26 X23 X17 X8:X9" xr:uid="{00000000-0002-0000-0000-000004000000}">
      <formula1>2</formula1>
    </dataValidation>
    <dataValidation type="whole" operator="lessThanOrEqual" allowBlank="1" showErrorMessage="1" errorTitle="Неверно" error="Заказ не может быть больше Наличия" sqref="X10 X3167 X3150 X3139 X3111 X3103 X3100:X3101 X3083 X3081 X3079 X3063 X3054:X3055 X3045 X3042 X3038 X3003 X2999 X2974 X2972 X2953 X2946 X2895 X2870 X2821 X2791 X2773 X2740 X2738 X2736 X2717 X2704 X2653 X2594 X2587 X2581 X2574:X2575 X2550 X2544 X2538:X2539 X2493 X2418 X2411:X2413 X2407 X2396 X2381 X2369:X2370 X2344 X2340:X2342 X2327 X2320 X2306 X2303 X2257 X2240 X2218 X2198 X2160 X2133 X2124 X2106 X2080 X2066 X2060 X2058 X2055 X2037 X2017 X2011:X2012 X1995 X1984 X1976:X1978 X1938:X1939 X1932 X1930 X1924 X1907 X1898 X1890 X1877 X1872 X1850 X1829 X1825 X1798 X1785 X1774 X1769 X1739 X1736 X1733 X1729 X1705 X1692:X1693 X1690 X1688 X1680:X1681 X1661 X1635 X1555:X1556 X1526 X1524 X1505 X1497 X1495 X1480 X1474 X1472 X1440 X1427 X1400 X1354 X1350:X1351 X1337 X1324 X1321 X1317 X1306 X1231 X1224 X1176 X1149 X1125 X1099 X1075 X1025 X1003 X992 X963 X961 X928 X923 X897 X840 X836 X834 X825 X811 X800:X801 X787 X762 X749:X750 X740 X736 X705 X698 X691 X689 X682:X683 X676 X672:X673 X670 X628:X629 X626 X617 X609:X610 X573 X560 X556 X553 X543 X538 X534 X528 X517 X504 X494 X484 X482 X454 X437 X431 X393:X394 X387 X376:X377 X359 X357 X355 X346 X342 X245 X240 X204 X186:X187 X180 X153 X120 X96 X86 X72 X67 X63 X45 X35 X14" xr:uid="{00000000-0002-0000-0000-000006000000}">
      <formula1>5</formula1>
    </dataValidation>
    <dataValidation type="whole" operator="lessThanOrEqual" allowBlank="1" showErrorMessage="1" errorTitle="Неверно" error="Заказ не может быть больше Наличия" sqref="X12 X3218:X3220 X3203 X3201 X3189 X3180 X3156 X3147 X3136 X3132 X3125:X3127 X3098 X3094 X3070 X3057 X3049 X3047 X2995:X2996 X2993 X2954 X2950 X2941 X2938 X2934 X2932 X2914 X2912 X2905 X2903 X2882 X2880 X2878 X2845 X2825 X2809 X2803 X2795 X2786 X2781 X2758 X2742 X2737 X2726 X2713 X2702 X2699:X2700 X2697 X2691 X2685 X2679 X2674 X2672 X2661 X2659 X2640 X2629 X2615 X2607 X2592 X2589 X2579 X2577 X2567 X2563 X2547 X2531 X2522:X2523 X2518 X2510 X2503 X2494 X2466 X2452 X2435 X2421:X2422 X2405 X2365 X2359 X2357 X2330:X2331 X2321 X2315:X2316 X2313 X2309 X2300 X2298 X2292:X2293 X2284 X2276 X2252 X2236 X2220 X2189:X2190 X2187 X2162:X2163 X2074 X2070 X2062 X2056 X2052:X2053 X2048 X2006 X2001 X1999 X1987 X1979 X1969 X1953 X1927 X1921 X1917 X1900 X1888 X1860 X1845:X1847 X1840 X1837 X1812 X1807 X1801 X1783 X1780 X1773 X1720 X1706 X1701 X1691 X1689 X1677 X1674 X1659 X1657 X1655 X1618 X1610 X1602 X1598 X1584 X1581 X1574 X1566 X1559:X1560 X1554 X1546 X1544 X1537 X1516 X1502 X1494 X1476 X1467 X1462:X1463 X1459 X1453 X1441 X1432 X1418 X1408 X1390 X1388 X1366 X1332 X1320 X1316 X1312:X1314 X1298 X1289 X1285 X1269 X1259 X1234 X1192 X1190 X1175 X1154 X1148 X1114 X1090 X1080 X1078 X1072 X1069 X1060 X1058 X1055 X1052 X1029:X1030 X1026 X1023 X1017:X1018 X993:X994 X962 X936 X903 X901 X899 X895 X890 X876 X854 X850 X835 X814 X797 X779 X767 X756 X745:X746 X725 X723 X718 X716 X709 X704 X700 X693 X687 X684 X657 X650 X647 X640 X636 X634 X625 X622 X611 X605 X569 X563 X555 X549 X518 X508 X496 X471 X469 X466 X464 X461:X462 X459 X452 X446 X442 X405 X402 X386 X373 X370 X367 X362 X338 X335 X322:X323 X305 X286 X273 X268 X253:X254 X241 X238 X236 X224 X215 X207 X199 X194 X191:X192 X175 X166 X164 X161 X138 X110 X105:X107 X88 X68 X65 X53 X37 X33 X24 X20" xr:uid="{00000000-0002-0000-0000-000008000000}">
      <formula1>3</formula1>
    </dataValidation>
    <dataValidation type="whole" operator="lessThanOrEqual" allowBlank="1" showErrorMessage="1" errorTitle="Неверно" error="Заказ не может быть больше Наличия" sqref="X13 X3210 X3206 X3157 X3082 X3036 X2973 X2963 X2960 X2942 X2849 X2807 X2794 X2789 X2751 X2647 X2634 X2586 X2553 X2492 X2482 X2477 X2458 X2385 X2349 X2346 X2317 X2281 X2250 X2195 X2193 X2185 X2180 X2122 X2114 X2082 X1957 X1926 X1912 X1878 X1857 X1835 X1758 X1520 X1438:X1439 X1397 X1387 X1336 X1230 X1228 X818 X809 X743 X706 X701 X692 X660 X627 X619 X520 X515 X506 X438 X416 X385 X279 X237 X197 X152 X137 X127 X92" xr:uid="{00000000-0002-0000-0000-000009000000}">
      <formula1>11</formula1>
    </dataValidation>
    <dataValidation type="whole" operator="lessThanOrEqual" allowBlank="1" showErrorMessage="1" errorTitle="Неверно" error="Заказ не может быть больше Наличия" sqref="X3152 X3117:X3118 X3113 X3109:X3110 X3107 X3080 X3078 X3062 X2958 X2956 X2902 X2879 X2852 X2841 X2750 X2734 X2718 X2657 X2641 X2637 X2608 X2605 X2585 X2562 X2551 X2526 X2512 X2462 X2442 X2433 X2420 X2403 X2377 X2332 X2290 X2278 X2269:X2270 X2253 X2229 X2209 X2199 X2168 X2159 X2147 X2135 X2118 X2116 X2094 X2049 X2044 X2038 X2035 X1974 X1968 X1960 X1954 X1944 X1934 X1925 X1881 X1865 X1862 X1848 X1819 X1816 X1793 X1786 X1784 X1763 X1749:X1750 X1734 X1730 X1687 X1643:X1644 X1547 X1514 X1479 X1448 X1433 X1399 X1384 X1365 X1362 X1292 X1290 X1243 X1221 X1100 X1095 X1051 X1010 X966 X959 X845 X841:X843 X829 X826 X679 X664 X641 X614 X594 X579 X572 X570 X558:X559 X522 X495 X476 X453 X440 X427 X417 X380 X378 X363 X351 X348:X349 X340 X301 X296 X260 X246 X222 X218 X160 X101 X98 X93 X90 X41 X31 X15:X16" xr:uid="{00000000-0002-0000-0000-00000B000000}">
      <formula1>7</formula1>
    </dataValidation>
    <dataValidation type="whole" operator="lessThanOrEqual" allowBlank="1" showErrorMessage="1" errorTitle="Неверно" error="Заказ не может быть больше Наличия" sqref="X18 X3207 X2926 X2524 X2471 X2463 X2460 X2431 X2384 X2254 X2244 X2141 X2130 X2126 X1980 X1770 X1715 X1338 X1215 X1169 X965 X564 X531 X505 X443" xr:uid="{00000000-0002-0000-0000-00000E000000}">
      <formula1>16</formula1>
    </dataValidation>
    <dataValidation type="whole" operator="lessThanOrEqual" allowBlank="1" showErrorMessage="1" errorTitle="Неверно" error="Заказ не может быть больше Наличия" sqref="X19 X3177 X3056 X3028 X3014 X3010 X2943 X2925 X2853 X2842 X2838 X2792 X2775 X2757 X2652 X2619 X2534 X2530 X2509 X2490 X2488 X2474 X2440 X2382 X2294 X2289 X2266 X2259 X2256 X2251 X2241 X2226 X2196 X2150 X2110 X2033 X1998 X1943 X1909 X1905 X1901 X1891 X1789 X1746 X1735 X1716 X1647 X1607 X1548 X1506 X1456 X1436 X1431 X1393 X1186 X1133 X988 X976 X972 X969:X970 X926 X778 X764 X733 X713 X677 X643 X599 X596 X581 X502 X435 X395:X396 X365 X317 X278 X261 X229 X167 X28:X30" xr:uid="{00000000-0002-0000-0000-00000F000000}">
      <formula1>8</formula1>
    </dataValidation>
    <dataValidation type="whole" operator="lessThanOrEqual" allowBlank="1" showErrorMessage="1" errorTitle="Неверно" error="Заказ не может быть больше Наличия" sqref="X21 X3181 X3119 X3114 X3087 X3059 X3037 X2966 X2924 X2901 X2887 X2839 X2559 X2555 X2500 X2441 X2415 X2389 X2286 X2267 X2182 X1967 X1956 X1892 X1777 X1771 X1764 X1696 X1686 X1645 X1605 X1543 X1534:X1535 X1235 X1227 X1070 X964 X663 X580 X521 X447 X428 X421 X410 X383 X379 X358 X350 X242 X129 X97 X66" xr:uid="{00000000-0002-0000-0000-000011000000}">
      <formula1>13</formula1>
    </dataValidation>
    <dataValidation type="whole" operator="lessThanOrEqual" allowBlank="1" showErrorMessage="1" errorTitle="Неверно" error="Заказ не может быть больше Наличия" sqref="X22 X2480 X2427 X2318 X2155 X2102 X1946 X1781 X1241 X586 X516 X473 X154" xr:uid="{00000000-0002-0000-0000-000012000000}">
      <formula1>22</formula1>
    </dataValidation>
    <dataValidation type="whole" operator="lessThanOrEqual" allowBlank="1" showErrorMessage="1" errorTitle="Неверно" error="Заказ не может быть больше Наличия" sqref="X27 X3190 X3060 X3044 X3009 X2994 X2977 X2937 X2930 X2904 X2884 X2861 X2754 X2735 X2733 X2716 X2633 X2625 X2623 X2554 X2552 X2515 X2507 X2505 X2419 X2399 X2352 X2271:X2272 X2146 X2132 X2083 X2081 X2028 X2016 X1971 X1950 X1914 X1870 X1808:X1809 X1799 X1778 X1767 X1743 X1731 X1698 X1694 X1683 X1521:X1523 X1482 X1460 X1444 X1442 X1434 X1242 X1233 X1223 X1184:X1185 X1168 X987 X781 X702 X697 X645 X642 X554 X547 X544 X511 X509 X488 X436 X399:X400 X397 X334 X223 X213:X214 X177 X58 X43" xr:uid="{00000000-0002-0000-0000-000017000000}">
      <formula1>10</formula1>
    </dataValidation>
    <dataValidation type="whole" operator="lessThanOrEqual" allowBlank="1" showErrorMessage="1" errorTitle="Неверно" error="Заказ не может быть больше Наличия" sqref="X34 X2900 X2886 X2464:X2465 X2432 X2225 X2131 X2032 X1903 X1867 X1818 X1794 X1533 X1484 X1240 X1171 X585 X527 X475 X128 X39" xr:uid="{00000000-0002-0000-0000-00001E000000}">
      <formula1>17</formula1>
    </dataValidation>
    <dataValidation type="whole" operator="lessThanOrEqual" allowBlank="1" showErrorMessage="1" errorTitle="Неверно" error="Заказ не может быть больше Наличия" sqref="X36 X3230 X3225 X3195 X3188 X3178 X3168 X3160:X3161 X3155 X3149 X3146 X3143 X3128 X3104 X3075 X3068 X3053 X3048 X3041 X2986 X2979 X2967 X2964 X2957 X2939 X2927:X2928 X2922 X2916 X2911 X2906 X2874 X2863 X2851 X2843:X2844 X2832 X2830 X2827 X2801 X2799 X2793 X2715 X2688 X2682 X2675 X2664 X2660 X2642:X2645 X2616 X2599 X2597 X2584 X2582 X2537 X2533 X2528 X2508 X2489 X2485 X2473 X2456 X2436 X2429 X2416 X2414 X2400 X2390 X2388 X2371:X2375 X2353 X2338 X2310 X2262 X2258 X2228 X2222 X2211:X2212 X2206 X2192 X2186 X2184 X2176 X2161 X2157 X2144 X2128 X2092:X2093 X2088 X2084 X2078 X2064 X2045 X2043 X2036 X2019 X1996 X1963 X1952 X1947 X1942 X1935 X1922 X1904 X1897 X1883 X1873 X1869 X1815 X1792 X1779 X1717 X1714 X1699 X1678 X1662 X1652 X1642 X1633:X1634 X1622 X1539 X1530:X1531 X1518:X1519 X1515 X1510 X1504 X1473 X1449 X1445 X1429:X1430 X1374 X1371 X1360 X1352 X1335 X1325 X1257 X1225:X1226 X1189 X1187 X1183 X1180 X1115 X1102 X1087 X1079 X1074 X1071 X1057 X1040 X1034 X1032 X1016 X999 X982 X971 X957 X911 X844 X839 X815 X798:X799 X786 X766 X763 X759 X755 X748 X730 X722 X719 X715 X711 X707 X699 X678 X675 X669 X666 X646 X620:X621 X615 X593 X591 X582 X571 X561 X546 X539 X537 X514 X507 X491 X483 X463 X439 X407 X356 X345 X328 X316 X308 X282 X252 X249 X239 X225 X221 X217 X212 X210 X190 X185 X174 X163 X155 X146 X130 X89 X87 X85 X79 X77 X69 X62 X60 X51:X52 X48 X44 X42" xr:uid="{00000000-0002-0000-0000-000020000000}">
      <formula1>4</formula1>
    </dataValidation>
    <dataValidation type="whole" operator="lessThanOrEqual" allowBlank="1" showErrorMessage="1" errorTitle="Неверно" error="Заказ не может быть больше Наличия" sqref="X40 X3221 X3209 X3182 X3179 X3153 X3151 X3120 X3115:X3116 X3112 X3108 X3106 X3102 X3099 X3073 X3067 X3050 X3046 X3030:X3031 X3027 X3011:X3012 X3004 X3002 X2955 X2949 X2929 X2923 X2915 X2898 X2876 X2854 X2835 X2829 X2777 X2770 X2747 X2744 X2728 X2655 X2651 X2646 X2549 X2545 X2542 X2535 X2525 X2513 X2511 X2506 X2501 X2438 X2425 X2408 X2401 X2364 X2358 X2345 X2326 X2248 X2245 X2233:X2234 X2188 X2145 X2136 X2091 X2087 X2065 X2051 X2041:X2042 X2039 X2034 X1959 X1951 X1948 X1894 X1889 X1885 X1882 X1879 X1863:X1864 X1813 X1810 X1775 X1760 X1742 X1703 X1700 X1679 X1665 X1641 X1596 X1557:X1558 X1545 X1525 X1512 X1503 X1488 X1478 X1450 X1396 X1304 X1291 X1260 X1138 X1106 X1093 X1077 X1045:X1046 X1013 X995 X968 X898 X838 X832:X833 X830 X828 X816:X817 X761 X744 X741 X694 X685 X671 X644 X635 X618 X616 X456 X450 X445 X426 X361 X347 X344 X331 X324 X320 X313 X219 X216 X181 X178 X151 X99 X94:X95 X82 X59 X57 X55" xr:uid="{00000000-0002-0000-0000-000024000000}">
      <formula1>6</formula1>
    </dataValidation>
    <dataValidation type="whole" operator="lessThanOrEqual" allowBlank="1" showErrorMessage="1" errorTitle="Неверно" error="Заказ не может быть больше Наличия" sqref="X54 X3154 X3022 X3018:X3019 X3015 X3013 X3005 X2936 X2871 X2846 X2731 X2677 X2658 X2624 X2576 X2558 X2540 X2536 X2497 X2479 X2469 X2449 X2430 X2410 X2237 X2181 X2127 X2119 X2113 X2109 X2105 X2031 X1981 X1966 X1949 X1945 X1940 X1911 X1871 X1811 X1759 X1697 X1685 X1487 X1443 X1220 X1105 X1033 X819 X810 X780 X735 X662 X575 X529 X489 X448 X201 X115" xr:uid="{00000000-0002-0000-0000-000032000000}">
      <formula1>12</formula1>
    </dataValidation>
    <dataValidation type="whole" operator="lessThanOrEqual" allowBlank="1" showErrorMessage="1" errorTitle="Неверно" error="Заказ не может быть больше Наличия" sqref="X124 X1902" xr:uid="{00000000-0002-0000-0000-000078000000}">
      <formula1>33</formula1>
    </dataValidation>
    <dataValidation type="whole" operator="lessThanOrEqual" allowBlank="1" showErrorMessage="1" errorTitle="Неверно" error="Заказ не может быть больше Наличия" sqref="X132 X2557 X1174 X444" xr:uid="{00000000-0002-0000-0000-000080000000}">
      <formula1>29</formula1>
    </dataValidation>
    <dataValidation type="whole" operator="lessThanOrEqual" allowBlank="1" showErrorMessage="1" errorTitle="Неверно" error="Заказ не может быть больше Наличия" sqref="X134 X3208 X2980 X2978 X2945 X2931 X2913 X2834 X2822 X2686 X2666:X2667 X2656 X2648 X2543 X2461 X2459 X2447 X2439 X2428 X2406 X2402 X2333:X2334 X2282 X2227 X2205 X2149 X2100 X2054 X2040 X2007 X1962 X1933 X1824 X1755 X1695 X1682 X1664 X1648 X1636 X1542 X1538 X1536 X1532 X1496 X1490 X1477 X1457 X1435 X1428 X1424 X1391:X1392 X1363 X1305 X1302 X1232 X1216 X1177 X1049 X1037 X1019:X1020 X986 X977 X703 X696 X680:X681 X659 X607 X577 X566 X418 X388 X329 X289" xr:uid="{00000000-0002-0000-0000-000082000000}">
      <formula1>9</formula1>
    </dataValidation>
    <dataValidation type="whole" operator="lessThanOrEqual" allowBlank="1" showErrorMessage="1" errorTitle="Неверно" error="Заказ не может быть больше Наличия" sqref="X135" xr:uid="{00000000-0002-0000-0000-000083000000}">
      <formula1>51</formula1>
    </dataValidation>
    <dataValidation type="whole" operator="lessThanOrEqual" allowBlank="1" showErrorMessage="1" errorTitle="Неверно" error="Заказ не может быть больше Наличия" sqref="X136" xr:uid="{00000000-0002-0000-0000-000084000000}">
      <formula1>57</formula1>
    </dataValidation>
    <dataValidation type="whole" operator="lessThanOrEqual" allowBlank="1" showErrorMessage="1" errorTitle="Неверно" error="Заказ не может быть больше Наличия" sqref="X150 X2606" xr:uid="{00000000-0002-0000-0000-000092000000}">
      <formula1>54</formula1>
    </dataValidation>
    <dataValidation type="whole" operator="lessThanOrEqual" allowBlank="1" showErrorMessage="1" errorTitle="Неверно" error="Заказ не может быть больше Наличия" sqref="X158 X2899 X2741 X2472 X2426 X2273 X2183 X1910 X1796 X1782 X1768 X1684 X1646 X1606 X1124 X661 X536" xr:uid="{00000000-0002-0000-0000-00009A000000}">
      <formula1>15</formula1>
    </dataValidation>
    <dataValidation type="whole" operator="lessThanOrEqual" allowBlank="1" showErrorMessage="1" errorTitle="Неверно" error="Заказ не может быть больше Наличия" sqref="X195 X2481 X2156 X981 X979 X548 X474 X472 X432 X202" xr:uid="{00000000-0002-0000-0000-0000BF000000}">
      <formula1>23</formula1>
    </dataValidation>
    <dataValidation type="whole" operator="lessThanOrEqual" allowBlank="1" showErrorMessage="1" errorTitle="Неверно" error="Заказ не может быть больше Наличия" sqref="X196 X500" xr:uid="{00000000-0002-0000-0000-0000C0000000}">
      <formula1>52</formula1>
    </dataValidation>
    <dataValidation type="whole" operator="lessThanOrEqual" allowBlank="1" showErrorMessage="1" errorTitle="Неверно" error="Заказ не может быть больше Наличия" sqref="X243 X2885 X2875 X2732 X2476 X2239 X2194 X1866 X1856 X1754 X1603 X1483 X1458 X1385 X1050 X978 X598 X434 X332 X318" xr:uid="{00000000-0002-0000-0000-0000EF000000}">
      <formula1>14</formula1>
    </dataValidation>
    <dataValidation type="whole" operator="lessThanOrEqual" allowBlank="1" showErrorMessage="1" errorTitle="Неверно" error="Заказ не может быть больше Наличия" sqref="X3088 X2935 X2868 X2260 X2238 X1906 X1828 X1820:X1821 X1817 X1761:X1762 X1485 X1179 X980 X423 X398 X381:X382" xr:uid="{00000000-0002-0000-0000-000079010000}">
      <formula1>19</formula1>
    </dataValidation>
    <dataValidation type="whole" operator="lessThanOrEqual" allowBlank="1" showErrorMessage="1" errorTitle="Неверно" error="Заказ не может быть больше Наличия" sqref="X384 X2498 X2287 X2232 X2125 X1895:X1896 X1748 X576 X524 X414" xr:uid="{00000000-0002-0000-0000-00007C010000}">
      <formula1>21</formula1>
    </dataValidation>
    <dataValidation type="whole" operator="lessThanOrEqual" allowBlank="1" showErrorMessage="1" errorTitle="Неверно" error="Заказ не может быть больше Наличия" sqref="X415" xr:uid="{00000000-0002-0000-0000-00009B010000}">
      <formula1>35</formula1>
    </dataValidation>
    <dataValidation type="whole" operator="lessThanOrEqual" allowBlank="1" showErrorMessage="1" errorTitle="Неверно" error="Заказ не может быть больше Наличия" sqref="X420 X1795 X1787 X433" xr:uid="{00000000-0002-0000-0000-0000A0010000}">
      <formula1>26</formula1>
    </dataValidation>
    <dataValidation type="whole" operator="lessThanOrEqual" allowBlank="1" showErrorMessage="1" errorTitle="Неверно" error="Заказ не может быть больше Наличия" sqref="X424" xr:uid="{00000000-0002-0000-0000-0000A4010000}">
      <formula1>44</formula1>
    </dataValidation>
    <dataValidation type="whole" operator="lessThanOrEqual" allowBlank="1" showErrorMessage="1" errorTitle="Неверно" error="Заказ не может быть больше Наличия" sqref="X425 X3017 X2872 X2242 X2101 X1237:X1238 X1172:X1173 X550 X525" xr:uid="{00000000-0002-0000-0000-0000A5010000}">
      <formula1>30</formula1>
    </dataValidation>
    <dataValidation type="whole" operator="lessThanOrEqual" allowBlank="1" showErrorMessage="1" errorTitle="Неверно" error="Заказ не может быть больше Наличия" sqref="X498 X3020 X2727 X2560 X1913 X526" xr:uid="{00000000-0002-0000-0000-0000EE010000}">
      <formula1>27</formula1>
    </dataValidation>
    <dataValidation type="whole" operator="lessThanOrEqual" allowBlank="1" showErrorMessage="1" errorTitle="Неверно" error="Заказ не может быть больше Наличия" sqref="X499" xr:uid="{00000000-0002-0000-0000-0000EF010000}">
      <formula1>47</formula1>
    </dataValidation>
    <dataValidation type="whole" operator="lessThanOrEqual" allowBlank="1" showErrorMessage="1" errorTitle="Неверно" error="Заказ не может быть больше Наличия" sqref="X541 X2099" xr:uid="{00000000-0002-0000-0000-000019020000}">
      <formula1>40</formula1>
    </dataValidation>
    <dataValidation type="whole" operator="lessThanOrEqual" allowBlank="1" showErrorMessage="1" errorTitle="Неверно" error="Заказ не может быть больше Наличия" sqref="X551" xr:uid="{00000000-0002-0000-0000-000023020000}">
      <formula1>90</formula1>
    </dataValidation>
    <dataValidation type="whole" operator="lessThanOrEqual" allowBlank="1" showErrorMessage="1" errorTitle="Неверно" error="Заказ не может быть больше Наличия" sqref="X1123 X3061 X2965 X2561 X2450:X2451 X2350:X2351 X2279 X2255 X2153 X1765 X1604 X1486" xr:uid="{00000000-0002-0000-0000-00005F040000}">
      <formula1>18</formula1>
    </dataValidation>
    <dataValidation type="whole" operator="lessThanOrEqual" allowBlank="1" showErrorMessage="1" errorTitle="Неверно" error="Заказ не может быть больше Наличия" sqref="X1178 X2499 X2231 X2154 X2117 X1788 X1239 X1236" xr:uid="{00000000-0002-0000-0000-000096040000}">
      <formula1>25</formula1>
    </dataValidation>
    <dataValidation type="whole" operator="lessThanOrEqual" allowBlank="1" showErrorMessage="1" errorTitle="Неверно" error="Заказ не может быть больше Наличия" sqref="X1229 X2230 X2104" xr:uid="{00000000-0002-0000-0000-0000C9040000}">
      <formula1>32</formula1>
    </dataValidation>
    <dataValidation type="whole" operator="lessThanOrEqual" allowBlank="1" showErrorMessage="1" errorTitle="Неверно" error="Заказ не может быть больше Наличия" sqref="X1752 X3026" xr:uid="{00000000-0002-0000-0000-0000D4060000}">
      <formula1>49</formula1>
    </dataValidation>
    <dataValidation type="whole" operator="lessThanOrEqual" allowBlank="1" showErrorMessage="1" errorTitle="Неверно" error="Заказ не может быть больше Наличия" sqref="X1826 X2139" xr:uid="{00000000-0002-0000-0000-00001E070000}">
      <formula1>56</formula1>
    </dataValidation>
    <dataValidation type="whole" operator="lessThanOrEqual" allowBlank="1" showErrorMessage="1" errorTitle="Неверно" error="Заказ не может быть больше Наличия" sqref="X2103" xr:uid="{00000000-0002-0000-0000-000033080000}">
      <formula1>38</formula1>
    </dataValidation>
    <dataValidation type="whole" operator="lessThanOrEqual" allowBlank="1" showErrorMessage="1" errorTitle="Неверно" error="Заказ не может быть больше Наличия" sqref="X2138 X3021 X3016 X2261 X2243" xr:uid="{00000000-0002-0000-0000-000056080000}">
      <formula1>28</formula1>
    </dataValidation>
    <dataValidation type="whole" operator="lessThanOrEqual" allowBlank="1" showErrorMessage="1" errorTitle="Неверно" error="Заказ не может быть больше Наличия" sqref="X2140" xr:uid="{00000000-0002-0000-0000-000058080000}">
      <formula1>36</formula1>
    </dataValidation>
    <dataValidation type="whole" operator="lessThanOrEqual" allowBlank="1" showErrorMessage="1" errorTitle="Неверно" error="Заказ не может быть больше Наличия" sqref="X2556" xr:uid="{00000000-0002-0000-0000-0000F8090000}">
      <formula1>37</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33203125" defaultRowHeight="14.25" x14ac:dyDescent="0.45"/>
  <cols>
    <col min="1" max="1" width="2.83203125" style="40" customWidth="1"/>
    <col min="2" max="3" width="31.83203125" style="40" customWidth="1"/>
    <col min="4" max="4" width="2.83203125" style="40" customWidth="1"/>
    <col min="5" max="5" width="35.83203125" style="41" customWidth="1"/>
    <col min="6" max="7" width="22.83203125" style="43" customWidth="1"/>
    <col min="8" max="8" width="2.83203125" style="41" customWidth="1"/>
    <col min="9" max="9" width="38.83203125" style="41" customWidth="1"/>
    <col min="10" max="11" width="16.83203125" style="43" customWidth="1"/>
    <col min="12" max="16384" width="9.33203125" style="40"/>
  </cols>
  <sheetData>
    <row r="1" spans="2:11" x14ac:dyDescent="0.45">
      <c r="E1" s="46" t="s">
        <v>3568</v>
      </c>
      <c r="F1" s="42"/>
      <c r="G1" s="47"/>
    </row>
    <row r="2" spans="2:11" x14ac:dyDescent="0.45">
      <c r="E2" s="44" t="s">
        <v>3569</v>
      </c>
      <c r="F2" s="48">
        <f>SUMPRODUCT(TDSheet!$Q$4:$Q$1048572,TDSheet!$X$4:$X$1048572)</f>
        <v>0</v>
      </c>
      <c r="G2" s="48"/>
      <c r="H2" s="49"/>
      <c r="I2" s="49"/>
      <c r="J2" s="50"/>
      <c r="K2" s="50"/>
    </row>
    <row r="3" spans="2:11" x14ac:dyDescent="0.45">
      <c r="B3" s="63"/>
      <c r="C3" s="63"/>
      <c r="E3" s="44" t="s">
        <v>3570</v>
      </c>
      <c r="F3" s="48" t="e">
        <f>SUMPRODUCT(TDSheet!#REF!,TDSheet!$X$4:$X$1048571)</f>
        <v>#REF!</v>
      </c>
      <c r="G3" s="48"/>
      <c r="H3" s="49"/>
      <c r="I3" s="49"/>
      <c r="J3" s="50"/>
      <c r="K3" s="50"/>
    </row>
    <row r="4" spans="2:11" x14ac:dyDescent="0.45">
      <c r="B4" s="61" t="s">
        <v>3567</v>
      </c>
      <c r="C4" s="62"/>
      <c r="E4" s="45" t="s">
        <v>3571</v>
      </c>
      <c r="F4" s="51" t="s">
        <v>3574</v>
      </c>
      <c r="G4" s="51" t="s">
        <v>3575</v>
      </c>
      <c r="H4" s="49"/>
      <c r="I4" s="51" t="s">
        <v>3576</v>
      </c>
      <c r="J4" s="51" t="s">
        <v>3577</v>
      </c>
      <c r="K4" s="51" t="s">
        <v>3575</v>
      </c>
    </row>
    <row r="5" spans="2:11" x14ac:dyDescent="0.45">
      <c r="B5" s="62"/>
      <c r="C5" s="62"/>
      <c r="E5" s="44" t="s">
        <v>593</v>
      </c>
      <c r="F5" s="48" t="e">
        <f>SUMPRODUCT(- -(TDSheet!$H$4:$H$1048569="Обувь"),TDSheet!#REF!,TDSheet!$X$4:$X$1048569)</f>
        <v>#REF!</v>
      </c>
      <c r="G5" s="48">
        <f>SUMIF(TDSheet!$H$4:$H$1048569,"Обувь",TDSheet!$X$4:$X$1048569)</f>
        <v>0</v>
      </c>
      <c r="H5" s="49"/>
      <c r="I5" s="52" t="s">
        <v>30</v>
      </c>
      <c r="J5" s="48" t="e">
        <f>SUMPRODUCT(- -(TDSheet!$K$4:$K$1048569="Мужчины"),TDSheet!#REF!,TDSheet!$X$4:$X$1048569)</f>
        <v>#REF!</v>
      </c>
      <c r="K5" s="48">
        <f>SUMIF(TDSheet!$K$4:$K$1048569,"Мужчины",TDSheet!$X$4:$X$1048569)</f>
        <v>0</v>
      </c>
    </row>
    <row r="6" spans="2:11" x14ac:dyDescent="0.45">
      <c r="B6" s="62"/>
      <c r="C6" s="62"/>
      <c r="E6" s="44" t="s">
        <v>27</v>
      </c>
      <c r="F6" s="48" t="e">
        <f>SUMPRODUCT(- -(TDSheet!$H$4:$H$1048569="Одежда"),TDSheet!#REF!,TDSheet!$X$4:$X$1048569)</f>
        <v>#REF!</v>
      </c>
      <c r="G6" s="48">
        <f>SUMIF(TDSheet!$H$4:$H$1048569,"Одежда",TDSheet!$X$4:$X$1048569)</f>
        <v>0</v>
      </c>
      <c r="H6" s="49"/>
      <c r="I6" s="52" t="s">
        <v>64</v>
      </c>
      <c r="J6" s="48" t="e">
        <f>SUMPRODUCT(- -(TDSheet!$K$4:$K$1048569="Женщины"),TDSheet!#REF!,TDSheet!$X$4:$X$1048569)</f>
        <v>#REF!</v>
      </c>
      <c r="K6" s="48">
        <f>SUMIF(TDSheet!$K$4:$K$1048569,"Женщины",TDSheet!$X$4:$X$1048569)</f>
        <v>0</v>
      </c>
    </row>
    <row r="7" spans="2:11" x14ac:dyDescent="0.45">
      <c r="B7" s="62"/>
      <c r="C7" s="62"/>
      <c r="E7" s="44" t="s">
        <v>576</v>
      </c>
      <c r="F7" s="48" t="e">
        <f>SUMPRODUCT(- -(TDSheet!$H$4:$H$1048569="Аксессуары"),TDSheet!#REF!,TDSheet!$X$4:$X$1048569)</f>
        <v>#REF!</v>
      </c>
      <c r="G7" s="48">
        <f>SUMIF(TDSheet!$H$4:$H$1048569,"Аксессуары",TDSheet!$X$4:$X$1048569)</f>
        <v>0</v>
      </c>
      <c r="H7" s="49"/>
      <c r="I7" s="52" t="s">
        <v>54</v>
      </c>
      <c r="J7" s="48" t="e">
        <f>SUMPRODUCT(- -(TDSheet!$K$4:$K$1048569="Дети"),TDSheet!#REF!,TDSheet!$X$4:$X$1048569)</f>
        <v>#REF!</v>
      </c>
      <c r="K7" s="48">
        <f>SUMIF(TDSheet!$K$4:$K$1048569,"Дети",TDSheet!$X$4:$X$1048569)</f>
        <v>0</v>
      </c>
    </row>
    <row r="8" spans="2:11" x14ac:dyDescent="0.45">
      <c r="B8" s="62"/>
      <c r="C8" s="62"/>
      <c r="E8" s="44" t="s">
        <v>3572</v>
      </c>
      <c r="F8" s="48" t="e">
        <f>SUMPRODUCT(- -(TDSheet!$H$4:$H$1048569="Спорт. Инвентарь"),TDSheet!#REF!,TDSheet!$X$4:$X$1048569)</f>
        <v>#REF!</v>
      </c>
      <c r="G8" s="48">
        <f>SUMIF(TDSheet!$H$4:$H$1048569,"Спорт. Инвентарь",TDSheet!$X$4:$X$1048569)</f>
        <v>0</v>
      </c>
      <c r="H8" s="49"/>
      <c r="I8" s="52" t="s">
        <v>578</v>
      </c>
      <c r="J8" s="48" t="e">
        <f>SUMPRODUCT(- -(TDSheet!$K$4:$K$1048569="Унисекс"),TDSheet!#REF!,TDSheet!$X$4:$X$1048569)</f>
        <v>#REF!</v>
      </c>
      <c r="K8" s="48">
        <f>SUMIF(TDSheet!$K$4:$K$1048569,"Унисекс",TDSheet!$X$4:$X$1048569)</f>
        <v>0</v>
      </c>
    </row>
    <row r="9" spans="2:11" x14ac:dyDescent="0.45">
      <c r="B9" s="62"/>
      <c r="C9" s="62"/>
      <c r="E9" s="44" t="s">
        <v>2049</v>
      </c>
      <c r="F9" s="48" t="e">
        <f>SUMPRODUCT(- -(TDSheet!$H$4:$H$1048569="Сумки и рюкзаки"),TDSheet!#REF!,TDSheet!$X$4:$X$1048569)</f>
        <v>#REF!</v>
      </c>
      <c r="G9" s="48">
        <f>SUMIF(TDSheet!$H$4:$H$1048569,"Сумки и рюкзаки",TDSheet!$X$4:$X$1048569)</f>
        <v>0</v>
      </c>
      <c r="H9" s="49"/>
      <c r="I9" s="49"/>
      <c r="J9" s="50"/>
      <c r="K9" s="50"/>
    </row>
    <row r="10" spans="2:11" x14ac:dyDescent="0.45">
      <c r="B10" s="62"/>
      <c r="C10" s="62"/>
      <c r="E10" s="44" t="s">
        <v>3573</v>
      </c>
      <c r="F10" s="48" t="e">
        <f>SUM(F5:F9)</f>
        <v>#REF!</v>
      </c>
      <c r="G10" s="48">
        <f>SUM(G5:G9)</f>
        <v>0</v>
      </c>
      <c r="H10" s="49"/>
      <c r="I10" s="49"/>
      <c r="J10" s="50"/>
      <c r="K10" s="50"/>
    </row>
    <row r="11" spans="2:11" x14ac:dyDescent="0.45">
      <c r="B11" s="62"/>
      <c r="C11" s="62"/>
    </row>
    <row r="12" spans="2:11" x14ac:dyDescent="0.45">
      <c r="B12" s="62"/>
      <c r="C12" s="62"/>
    </row>
    <row r="13" spans="2:11" x14ac:dyDescent="0.45">
      <c r="B13" s="62"/>
      <c r="C13" s="62"/>
    </row>
    <row r="14" spans="2:11" x14ac:dyDescent="0.45">
      <c r="B14" s="62"/>
      <c r="C14" s="62"/>
    </row>
    <row r="15" spans="2:11" x14ac:dyDescent="0.45">
      <c r="B15" s="62"/>
      <c r="C15" s="62"/>
    </row>
    <row r="16" spans="2:11" x14ac:dyDescent="0.45">
      <c r="B16" s="63"/>
      <c r="C16" s="63"/>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Кулешова Надежда</dc:creator>
  <cp:lastModifiedBy>maxm3</cp:lastModifiedBy>
  <dcterms:created xsi:type="dcterms:W3CDTF">2026-08-21T10:32:27Z</dcterms:created>
  <dcterms:modified xsi:type="dcterms:W3CDTF">2026-08-22T09:54:29Z</dcterms:modified>
</cp:coreProperties>
</file>